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8640" windowHeight="10335" tabRatio="713" activeTab="2"/>
  </bookViews>
  <sheets>
    <sheet name="재정상태" sheetId="1" r:id="rId1"/>
    <sheet name="재정운영" sheetId="2" r:id="rId2"/>
    <sheet name="순자산변동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2">'순자산변동'!$A$1:$P$13</definedName>
    <definedName name="_xlnm.Print_Area" localSheetId="0">'재정상태'!$A$1:$R$188</definedName>
    <definedName name="_xlnm.Print_Area" localSheetId="1">'재정운영'!$A$1:$R$205</definedName>
    <definedName name="_xlnm.Print_Titles" localSheetId="0">'재정상태'!$5:$5</definedName>
    <definedName name="_xlnm.Print_Titles" localSheetId="1">'재정운영'!$5:$5</definedName>
  </definedNames>
  <calcPr fullCalcOnLoad="1"/>
</workbook>
</file>

<file path=xl/sharedStrings.xml><?xml version="1.0" encoding="utf-8"?>
<sst xmlns="http://schemas.openxmlformats.org/spreadsheetml/2006/main" count="424" uniqueCount="367">
  <si>
    <t>미수부담금</t>
  </si>
  <si>
    <t>차입금이자비용</t>
  </si>
  <si>
    <t>수질정화시설감가상각누계액</t>
  </si>
  <si>
    <t>기타유동부채</t>
  </si>
  <si>
    <t>유동성장기차입금</t>
  </si>
  <si>
    <t>장기차입금</t>
  </si>
  <si>
    <t>2. 장기차입부채</t>
  </si>
  <si>
    <t>수             익</t>
  </si>
  <si>
    <t>비             용</t>
  </si>
  <si>
    <t>급     여</t>
  </si>
  <si>
    <t>일숙직비</t>
  </si>
  <si>
    <t>도서구입및인쇄비</t>
  </si>
  <si>
    <t>소모품비</t>
  </si>
  <si>
    <t>홍보및광고비</t>
  </si>
  <si>
    <t>지급수수료</t>
  </si>
  <si>
    <t>입목유지보수비</t>
  </si>
  <si>
    <t>보험료및공제료</t>
  </si>
  <si>
    <t>국내출장여비</t>
  </si>
  <si>
    <t>시책추진업무추진비</t>
  </si>
  <si>
    <t>부서운영업무추진비</t>
  </si>
  <si>
    <t>징수교부금</t>
  </si>
  <si>
    <t>기타운영비</t>
  </si>
  <si>
    <t>손해배상금및국가배상금</t>
  </si>
  <si>
    <t>민간사회보장지원금</t>
  </si>
  <si>
    <t>구축물감가상각비</t>
  </si>
  <si>
    <t>기계장치감가상각비</t>
  </si>
  <si>
    <t>운  영  차  액</t>
  </si>
  <si>
    <t>1. 인  건  비</t>
  </si>
  <si>
    <t>2. 운  영  비</t>
  </si>
  <si>
    <t>3. 정부간이전비용</t>
  </si>
  <si>
    <t>5. 기타비용</t>
  </si>
  <si>
    <t xml:space="preserve"> </t>
  </si>
  <si>
    <t>현금및현금성자산</t>
  </si>
  <si>
    <t>3. 일반유형자산</t>
  </si>
  <si>
    <t>토   지</t>
  </si>
  <si>
    <t>입   목</t>
  </si>
  <si>
    <t>구축물</t>
  </si>
  <si>
    <t>구축물감가상각누계액</t>
  </si>
  <si>
    <t>집기비품</t>
  </si>
  <si>
    <t>(자산총계)</t>
  </si>
  <si>
    <t>부     채</t>
  </si>
  <si>
    <t>1. 유동부채</t>
  </si>
  <si>
    <t>(부채총계)</t>
  </si>
  <si>
    <t>특정순자산</t>
  </si>
  <si>
    <t>일반순자산</t>
  </si>
  <si>
    <t>(순자산총계)</t>
  </si>
  <si>
    <t>(부채및순자산총계)</t>
  </si>
  <si>
    <t xml:space="preserve"> </t>
  </si>
  <si>
    <t>자     산</t>
  </si>
  <si>
    <t>1. 유동자산</t>
  </si>
  <si>
    <t>단기금융상품</t>
  </si>
  <si>
    <t>보증금</t>
  </si>
  <si>
    <t>현금과예금</t>
  </si>
  <si>
    <t>순 자 산</t>
  </si>
  <si>
    <t>고정순자산</t>
  </si>
  <si>
    <t>구축물감가상각누계액</t>
  </si>
  <si>
    <t>1. 자체조달수익</t>
  </si>
  <si>
    <t>사용료수익</t>
  </si>
  <si>
    <t>시도비보조금수익</t>
  </si>
  <si>
    <t>단기민간융자금</t>
  </si>
  <si>
    <t>미수세외수입금</t>
  </si>
  <si>
    <t>의료기관운영비</t>
  </si>
  <si>
    <t>장기민간융자금</t>
  </si>
  <si>
    <t>무형자산</t>
  </si>
  <si>
    <t>일반미수금</t>
  </si>
  <si>
    <t xml:space="preserve"> </t>
  </si>
  <si>
    <t>집기비품감가상각비</t>
  </si>
  <si>
    <t>미수수익</t>
  </si>
  <si>
    <t>기타유동자산</t>
  </si>
  <si>
    <t>선급비용</t>
  </si>
  <si>
    <t>단기대여금</t>
  </si>
  <si>
    <t>4. 주민편의시설</t>
  </si>
  <si>
    <t>5. 사회기반시설</t>
  </si>
  <si>
    <t>이차보전금</t>
  </si>
  <si>
    <t>기본급</t>
  </si>
  <si>
    <t>정액급식비</t>
  </si>
  <si>
    <t>교통보조비</t>
  </si>
  <si>
    <t>명절휴가비</t>
  </si>
  <si>
    <t>가계지원비</t>
  </si>
  <si>
    <t>연가보상비</t>
  </si>
  <si>
    <t>직책급업무추진비</t>
  </si>
  <si>
    <t>직급보조비</t>
  </si>
  <si>
    <t>특정업무수행활동비</t>
  </si>
  <si>
    <t>성과상여금</t>
  </si>
  <si>
    <t>기타직인건비</t>
  </si>
  <si>
    <t>공무원연금부담금</t>
  </si>
  <si>
    <t>공무원건강보험부담금</t>
  </si>
  <si>
    <t>공무원급량비</t>
  </si>
  <si>
    <t>일용인부인건비</t>
  </si>
  <si>
    <t>일시사역인부인건비</t>
  </si>
  <si>
    <t>임차료</t>
  </si>
  <si>
    <t>기관운영업무추진비</t>
  </si>
  <si>
    <t>정원가산업무추진비</t>
  </si>
  <si>
    <t>공익근무요원운영비</t>
  </si>
  <si>
    <t>위원회운영비</t>
  </si>
  <si>
    <t>시험연구비</t>
  </si>
  <si>
    <t>주민편의시설처분손실</t>
  </si>
  <si>
    <t>무형자산상각비</t>
  </si>
  <si>
    <t>국가에대한부담금</t>
  </si>
  <si>
    <t>국고보조금수익</t>
  </si>
  <si>
    <t>복리후생비</t>
  </si>
  <si>
    <t>기타인건비</t>
  </si>
  <si>
    <t>도서구입및인쇄비</t>
  </si>
  <si>
    <t>소모품비</t>
  </si>
  <si>
    <t>홍보및광고비</t>
  </si>
  <si>
    <t>지급수수료</t>
  </si>
  <si>
    <t>교육훈련비</t>
  </si>
  <si>
    <t>제세공과금</t>
  </si>
  <si>
    <t>보험료및공제료</t>
  </si>
  <si>
    <t>임차료</t>
  </si>
  <si>
    <t>출장비</t>
  </si>
  <si>
    <t>이자비용</t>
  </si>
  <si>
    <t>행사비</t>
  </si>
  <si>
    <t>위탁대행사업비</t>
  </si>
  <si>
    <t>공익근무요원운영비</t>
  </si>
  <si>
    <t>위원회운영비</t>
  </si>
  <si>
    <t>징수교부금</t>
  </si>
  <si>
    <t>의료기관운영비</t>
  </si>
  <si>
    <t>기타운영비</t>
  </si>
  <si>
    <t>4. 기타이전비용</t>
  </si>
  <si>
    <t>민간사회보장지원금</t>
  </si>
  <si>
    <t>이차보전금</t>
  </si>
  <si>
    <t>기타이전비용</t>
  </si>
  <si>
    <t>주민편의시설처분손실</t>
  </si>
  <si>
    <t>일반유형자산감가상각비</t>
  </si>
  <si>
    <t>주민편의시설감가상각비</t>
  </si>
  <si>
    <t>무형자산상각비</t>
  </si>
  <si>
    <t>미수세외수입금대손상각비</t>
  </si>
  <si>
    <t xml:space="preserve"> </t>
  </si>
  <si>
    <t>업무추진비</t>
  </si>
  <si>
    <t>1.기초순자산</t>
  </si>
  <si>
    <t>2.운영차액</t>
  </si>
  <si>
    <t xml:space="preserve">    기타순자산의 증가</t>
  </si>
  <si>
    <t>4. 순자산의 감소</t>
  </si>
  <si>
    <t>5. 기말순자산</t>
  </si>
  <si>
    <t xml:space="preserve"> </t>
  </si>
  <si>
    <t>미수사용료수익</t>
  </si>
  <si>
    <t>재고자산</t>
  </si>
  <si>
    <t>수질정화시설토지</t>
  </si>
  <si>
    <t>토지를제외한수질정화시설</t>
  </si>
  <si>
    <t>유동성장기차입부채</t>
  </si>
  <si>
    <t>미수기타임시세외수익</t>
  </si>
  <si>
    <t>미수과태료및범칙금</t>
  </si>
  <si>
    <t>차량운반구</t>
  </si>
  <si>
    <t>차량운반구감가상각누계액</t>
  </si>
  <si>
    <t>건설중인사회기반시설</t>
  </si>
  <si>
    <t>일반미지급금</t>
  </si>
  <si>
    <t>미수사업수익</t>
  </si>
  <si>
    <t>하천부속시설토지</t>
  </si>
  <si>
    <t>토지를제외한하천부속시설</t>
  </si>
  <si>
    <t>기계장치</t>
  </si>
  <si>
    <t>기계장치감가상각누계액</t>
  </si>
  <si>
    <t>공기업특별회계자본전출금</t>
  </si>
  <si>
    <t xml:space="preserve">건물 </t>
  </si>
  <si>
    <t>건물감가상각누계액</t>
  </si>
  <si>
    <t xml:space="preserve">전산소프트웨어 </t>
  </si>
  <si>
    <t>퇴직급여충당부채</t>
  </si>
  <si>
    <t>기타투자자산</t>
  </si>
  <si>
    <t>기타유동자산</t>
  </si>
  <si>
    <t>미수세외수입금대손충당금</t>
  </si>
  <si>
    <t>2. 투자자산</t>
  </si>
  <si>
    <t>장기대여금</t>
  </si>
  <si>
    <t>토   지</t>
  </si>
  <si>
    <t>차량운반구</t>
  </si>
  <si>
    <t>차량운반구감가상각누계액</t>
  </si>
  <si>
    <t>집기비품</t>
  </si>
  <si>
    <t>건물 감가상각누계액</t>
  </si>
  <si>
    <t>구축물</t>
  </si>
  <si>
    <t>도로</t>
  </si>
  <si>
    <t>수질정화시설감가상각누계액</t>
  </si>
  <si>
    <t>하천부속시설</t>
  </si>
  <si>
    <t>건설중인사회기반시설</t>
  </si>
  <si>
    <t>수질정화시설</t>
  </si>
  <si>
    <t>수수료수익</t>
  </si>
  <si>
    <t>재산임대료수익</t>
  </si>
  <si>
    <t>사업수익</t>
  </si>
  <si>
    <t>이자수익</t>
  </si>
  <si>
    <t>일반부담금수익</t>
  </si>
  <si>
    <t>사회기반시설수선유지비</t>
  </si>
  <si>
    <t>차량운반구수선유지비</t>
  </si>
  <si>
    <t>연구개발비</t>
  </si>
  <si>
    <t>민간위탁대행사업비</t>
  </si>
  <si>
    <t>전출금비용</t>
  </si>
  <si>
    <t>사회기반시설감가상각비</t>
  </si>
  <si>
    <t>미수부담금대손상각비</t>
  </si>
  <si>
    <t>기타임시세외수익</t>
  </si>
  <si>
    <t>회계간전입금수익</t>
  </si>
  <si>
    <t>지방자치단체간부담금</t>
  </si>
  <si>
    <t>과태료및범칙금수익</t>
  </si>
  <si>
    <t>공무원피복비</t>
  </si>
  <si>
    <t>건물수선유지비</t>
  </si>
  <si>
    <t>일반유형자산수선유지비</t>
  </si>
  <si>
    <t>구축물수선유지비</t>
  </si>
  <si>
    <t>집기비품수선유지비</t>
  </si>
  <si>
    <t>주민편의시설수선유지비</t>
  </si>
  <si>
    <t>도로수선유지비</t>
  </si>
  <si>
    <t>기타사회기반시설수선유지비</t>
  </si>
  <si>
    <t>차량운반구감가상각비</t>
  </si>
  <si>
    <t>건물감가상각비</t>
  </si>
  <si>
    <t>기타주민편의시설감가상각비</t>
  </si>
  <si>
    <t>징수교부금수익</t>
  </si>
  <si>
    <t>기타주민편의시설수선유지비</t>
  </si>
  <si>
    <t>기계장치수선유지비</t>
  </si>
  <si>
    <t>경상세외수익</t>
  </si>
  <si>
    <t>임시세외수익</t>
  </si>
  <si>
    <t>2. 정부간이전수익</t>
  </si>
  <si>
    <t>국고보조금수익</t>
  </si>
  <si>
    <t>시도비보조금수익</t>
  </si>
  <si>
    <t>3. 기타수익</t>
  </si>
  <si>
    <t>퇴직급여</t>
  </si>
  <si>
    <t>퇴직급여</t>
  </si>
  <si>
    <t>공기관위탁대행사업비</t>
  </si>
  <si>
    <t>기타비유동자산수선유지비</t>
  </si>
  <si>
    <t>기타자산수선유지비</t>
  </si>
  <si>
    <t>퇴직전환금및예치금</t>
  </si>
  <si>
    <t>자치단체간부담금수익</t>
  </si>
  <si>
    <t>자치단체간부담금수익</t>
  </si>
  <si>
    <t xml:space="preserve">시도비보조금 </t>
  </si>
  <si>
    <t>3. 순자산의 증가</t>
  </si>
  <si>
    <t>세입세출외단기보관현금</t>
  </si>
  <si>
    <t>수당</t>
  </si>
  <si>
    <t>기타교육훈련비</t>
  </si>
  <si>
    <t>민간장학금</t>
  </si>
  <si>
    <t>출연금</t>
  </si>
  <si>
    <t>직원교육훈련비</t>
  </si>
  <si>
    <t>과오납환부금</t>
  </si>
  <si>
    <t xml:space="preserve"> </t>
  </si>
  <si>
    <t xml:space="preserve"> </t>
  </si>
  <si>
    <t xml:space="preserve">5. 기타비유동자산 </t>
  </si>
  <si>
    <t xml:space="preserve"> </t>
  </si>
  <si>
    <t>민간보조금</t>
  </si>
  <si>
    <t>민간의료보조금</t>
  </si>
  <si>
    <t>시도비보조금반환금수익</t>
  </si>
  <si>
    <t>시도비보조금반환금수익</t>
  </si>
  <si>
    <t>보증금</t>
  </si>
  <si>
    <t>공공요금및제세</t>
  </si>
  <si>
    <t>각종협회부담금</t>
  </si>
  <si>
    <t>행사운영비</t>
  </si>
  <si>
    <t>연료비</t>
  </si>
  <si>
    <t>연구용역비</t>
  </si>
  <si>
    <t>행사위탁및보조비</t>
  </si>
  <si>
    <t>주차장</t>
  </si>
  <si>
    <t>주차장토지</t>
  </si>
  <si>
    <t>토지를제외주차장</t>
  </si>
  <si>
    <t>주차장감가상각누계액</t>
  </si>
  <si>
    <t>공원</t>
  </si>
  <si>
    <t>공원토지</t>
  </si>
  <si>
    <t>토지를제외한공원</t>
  </si>
  <si>
    <t>공원감가상각누계액</t>
  </si>
  <si>
    <t>토지를제외한도로</t>
  </si>
  <si>
    <t>상수도시설토지</t>
  </si>
  <si>
    <t>토지를제외한상수도시설</t>
  </si>
  <si>
    <t>상수도시설감가상각누계액</t>
  </si>
  <si>
    <t>상수도시설</t>
  </si>
  <si>
    <t>농수산기반시설</t>
  </si>
  <si>
    <t>농수산기반시설토지</t>
  </si>
  <si>
    <t>토지를제외한농수산기반시설</t>
  </si>
  <si>
    <t>농수산기반시설감가상각누계액</t>
  </si>
  <si>
    <t>기타사회기반시설</t>
  </si>
  <si>
    <t>기타사회기반시설토지</t>
  </si>
  <si>
    <t>토지를제외한기타사회기반시설</t>
  </si>
  <si>
    <t>농수산기반시설수선유지비</t>
  </si>
  <si>
    <t>기타민간보조금</t>
  </si>
  <si>
    <t>민간재해보상금</t>
  </si>
  <si>
    <t>기타사회기반시설감가상각누계액</t>
  </si>
  <si>
    <t>기타사회기반시설감가상각누계액</t>
  </si>
  <si>
    <t>상수도시설수선유지비</t>
  </si>
  <si>
    <t>건설중인일반유형자산</t>
  </si>
  <si>
    <t>기타주민편의시설</t>
  </si>
  <si>
    <t>토지를제외한기타주민편의시설</t>
  </si>
  <si>
    <t>기타주민편의시설토지</t>
  </si>
  <si>
    <t>기타주민편의시설감가상각누계액</t>
  </si>
  <si>
    <t>기타주민편의시설감가상각누계액</t>
  </si>
  <si>
    <t>민간복지시설보조금</t>
  </si>
  <si>
    <t>집기비품감가상각누계액</t>
  </si>
  <si>
    <t>집기비품감가상각누계액</t>
  </si>
  <si>
    <t>주차장수선유지비</t>
  </si>
  <si>
    <t>민간보상금</t>
  </si>
  <si>
    <t>미수변상금</t>
  </si>
  <si>
    <t>박물관및미술관토지</t>
  </si>
  <si>
    <t>토지를제외한박물관및미술관</t>
  </si>
  <si>
    <t>박물관및미술관감가상각누계액</t>
  </si>
  <si>
    <t>박물관및미술관</t>
  </si>
  <si>
    <t>일반미지급비용</t>
  </si>
  <si>
    <t>변상금수익</t>
  </si>
  <si>
    <t>기타복리후생비</t>
  </si>
  <si>
    <t>폐기물처리시설수선유지비</t>
  </si>
  <si>
    <t>유산자산수선유지비</t>
  </si>
  <si>
    <t>행사실비보상비</t>
  </si>
  <si>
    <t>주차장감가상각비</t>
  </si>
  <si>
    <t>박물관및미술관감가상각비</t>
  </si>
  <si>
    <t>장기금융상품</t>
  </si>
  <si>
    <t>장기금융상품</t>
  </si>
  <si>
    <t>미수재산임대료수익</t>
  </si>
  <si>
    <t>기타비유동자산</t>
  </si>
  <si>
    <t>세입세출외장기보관현금</t>
  </si>
  <si>
    <t>기타비유동자산</t>
  </si>
  <si>
    <t>3. 기타비유동부채</t>
  </si>
  <si>
    <t>기타비유동부채</t>
  </si>
  <si>
    <t>장기예수보증금</t>
  </si>
  <si>
    <t>사회복지시설</t>
  </si>
  <si>
    <t>사회복지시설토지</t>
  </si>
  <si>
    <t>토지를제외한사회복지시설</t>
  </si>
  <si>
    <t>사회복지시설감가상각누계액</t>
  </si>
  <si>
    <t>건설중인주민편의시설</t>
  </si>
  <si>
    <t>건설중인주민편의시설</t>
  </si>
  <si>
    <t>어항및항만시설토지</t>
  </si>
  <si>
    <t>토지를제외한어항및항만시설</t>
  </si>
  <si>
    <t>어항및항만시설감가상각누계액</t>
  </si>
  <si>
    <t>어항및항만시설</t>
  </si>
  <si>
    <t>수질정화시설수선유지비</t>
  </si>
  <si>
    <t>하천부속시설수선유지비</t>
  </si>
  <si>
    <t>교육기관운영비보조금</t>
  </si>
  <si>
    <t>상수도시설감가상각비</t>
  </si>
  <si>
    <t>수질정화시설감가상각비</t>
  </si>
  <si>
    <t>농수산기반시설감가상각비</t>
  </si>
  <si>
    <t>기타사회기반시설감가상각비</t>
  </si>
  <si>
    <t>체육시설수선유지비</t>
  </si>
  <si>
    <t>국공유재산수선유지비</t>
  </si>
  <si>
    <t>청원경찰등국내출장여비</t>
  </si>
  <si>
    <t>도로토지</t>
  </si>
  <si>
    <t>기타국가에대한부담금</t>
  </si>
  <si>
    <t>관리전환에의한자산감소</t>
  </si>
  <si>
    <t>판매용재고자산</t>
  </si>
  <si>
    <t>선수금</t>
  </si>
  <si>
    <t>저장품</t>
  </si>
  <si>
    <t>단기예수보관금</t>
  </si>
  <si>
    <t>2007년 12월 31일 현재</t>
  </si>
  <si>
    <t>주택사업
 특별회계</t>
  </si>
  <si>
    <t>토지구획정리사업
특별회계</t>
  </si>
  <si>
    <t>의료급여기금
특별회계</t>
  </si>
  <si>
    <t>기초생활보장
수급권자생활안정
기금특별회계</t>
  </si>
  <si>
    <t>새마을소득사업
운영관리특별회계</t>
  </si>
  <si>
    <t>발전소주변지역
지원사업특별회계</t>
  </si>
  <si>
    <t>중소기업육성기금
운영특별회계</t>
  </si>
  <si>
    <t>농공단지사업
특별회계</t>
  </si>
  <si>
    <t>수질개선사업
특별회계</t>
  </si>
  <si>
    <t>장기미집행
도시계획시설
대지보상특별회계</t>
  </si>
  <si>
    <t>기반시설
특별회계</t>
  </si>
  <si>
    <t>의료시설</t>
  </si>
  <si>
    <t>의료시설토지</t>
  </si>
  <si>
    <t>토지를제외한의료시설</t>
  </si>
  <si>
    <t>의료시설감가상각누계액</t>
  </si>
  <si>
    <t>과오납환부이자비용</t>
  </si>
  <si>
    <t>재정상태보고서</t>
  </si>
  <si>
    <t>사천시 기타특별회계</t>
  </si>
  <si>
    <t>계</t>
  </si>
  <si>
    <t>재정운영보고서</t>
  </si>
  <si>
    <t>2007년 1월 1일 부터 2007년 12월 31일 까지</t>
  </si>
  <si>
    <t xml:space="preserve"> </t>
  </si>
  <si>
    <t>(단위: 원)</t>
  </si>
  <si>
    <t>계</t>
  </si>
  <si>
    <t>순자산변동보고서</t>
  </si>
  <si>
    <t>과  목</t>
  </si>
  <si>
    <t>합      계</t>
  </si>
  <si>
    <t>주택</t>
  </si>
  <si>
    <t>사회보장</t>
  </si>
  <si>
    <t>지역경제</t>
  </si>
  <si>
    <t>보건생활</t>
  </si>
  <si>
    <t>미수사업수익대손충당금</t>
  </si>
  <si>
    <t>미수부담금대손충당금</t>
  </si>
  <si>
    <t>의료시설감가상각비</t>
  </si>
  <si>
    <t>미수사업수익대손상각비</t>
  </si>
  <si>
    <t>기타비용</t>
  </si>
  <si>
    <t>사회복지시설수선유지비</t>
  </si>
  <si>
    <t>공원감가상각비</t>
  </si>
  <si>
    <t>어항및항만시설감가상각비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</si>
</sst>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-* #,##0.0_-;\-* #,##0.0_-;_-* &quot;-&quot;_-;_-@_-"/>
    <numFmt numFmtId="179" formatCode="#,##0;\-#,##0;\-"/>
    <numFmt numFmtId="180" formatCode="0_);[Red]\(0\)"/>
    <numFmt numFmtId="181" formatCode="0000000"/>
    <numFmt numFmtId="182" formatCode="0.0_);[Red]\(0.0\)"/>
    <numFmt numFmtId="183" formatCode="0.0%"/>
    <numFmt numFmtId="184" formatCode="#,##0_ ;[Red]\-#,##0\ "/>
    <numFmt numFmtId="185" formatCode="0.00_ "/>
    <numFmt numFmtId="186" formatCode="#,##0;[Red]#,##0"/>
    <numFmt numFmtId="187" formatCode="0.00;[Red]0.00"/>
    <numFmt numFmtId="188" formatCode="#,##0.00_ "/>
    <numFmt numFmtId="189" formatCode="0_ "/>
    <numFmt numFmtId="190" formatCode="0.00_);[Red]\(0.00\)"/>
    <numFmt numFmtId="191" formatCode="&quot;\&quot;#,##0"/>
    <numFmt numFmtId="192" formatCode="#,##0_);\(#,##0\)"/>
  </numFmts>
  <fonts count="14">
    <font>
      <sz val="11"/>
      <name val="돋움"/>
      <family val="3"/>
    </font>
    <font>
      <u val="single"/>
      <sz val="9.9"/>
      <color indexed="36"/>
      <name val="돋움"/>
      <family val="3"/>
    </font>
    <font>
      <u val="single"/>
      <sz val="9.9"/>
      <color indexed="12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바탕"/>
      <family val="1"/>
    </font>
    <font>
      <sz val="10"/>
      <name val="바탕"/>
      <family val="1"/>
    </font>
    <font>
      <sz val="10"/>
      <color indexed="10"/>
      <name val="바탕"/>
      <family val="1"/>
    </font>
    <font>
      <sz val="11"/>
      <name val="HY헤드라인M"/>
      <family val="1"/>
    </font>
    <font>
      <sz val="10"/>
      <name val="HY헤드라인M"/>
      <family val="1"/>
    </font>
    <font>
      <sz val="20"/>
      <name val="HY헤드라인M"/>
      <family val="1"/>
    </font>
    <font>
      <sz val="18"/>
      <name val="HY헤드라인M"/>
      <family val="1"/>
    </font>
    <font>
      <sz val="9"/>
      <name val="HY헤드라인M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0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5" fillId="0" borderId="2" xfId="22" applyFont="1" applyFill="1" applyBorder="1" applyAlignment="1">
      <alignment horizontal="left" vertical="center" shrinkToFi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3" xfId="22" applyNumberFormat="1" applyFont="1" applyBorder="1" applyAlignment="1">
      <alignment horizontal="center" vertical="center"/>
      <protection/>
    </xf>
    <xf numFmtId="176" fontId="5" fillId="0" borderId="1" xfId="22" applyNumberFormat="1" applyFont="1" applyBorder="1" applyAlignment="1">
      <alignment vertical="center" shrinkToFit="1"/>
      <protection/>
    </xf>
    <xf numFmtId="0" fontId="5" fillId="0" borderId="0" xfId="22" applyFont="1" applyBorder="1" applyAlignment="1">
      <alignment horizontal="left" vertical="center" shrinkToFit="1"/>
      <protection/>
    </xf>
    <xf numFmtId="0" fontId="6" fillId="0" borderId="0" xfId="22" applyFont="1" applyBorder="1" applyAlignment="1">
      <alignment vertical="center" shrinkToFit="1"/>
      <protection/>
    </xf>
    <xf numFmtId="176" fontId="6" fillId="0" borderId="1" xfId="22" applyNumberFormat="1" applyFont="1" applyBorder="1" applyAlignment="1">
      <alignment vertical="center" shrinkToFit="1"/>
      <protection/>
    </xf>
    <xf numFmtId="0" fontId="6" fillId="0" borderId="0" xfId="22" applyFont="1" applyBorder="1" applyAlignment="1">
      <alignment horizontal="left" vertical="center" shrinkToFit="1"/>
      <protection/>
    </xf>
    <xf numFmtId="0" fontId="6" fillId="0" borderId="4" xfId="22" applyFont="1" applyBorder="1" applyAlignment="1">
      <alignment horizontal="left" vertical="center" shrinkToFit="1"/>
      <protection/>
    </xf>
    <xf numFmtId="176" fontId="6" fillId="0" borderId="1" xfId="22" applyNumberFormat="1" applyFont="1" applyFill="1" applyBorder="1" applyAlignment="1">
      <alignment vertical="center" shrinkToFit="1"/>
      <protection/>
    </xf>
    <xf numFmtId="0" fontId="6" fillId="0" borderId="4" xfId="22" applyFont="1" applyBorder="1" applyAlignment="1">
      <alignment vertical="center"/>
      <protection/>
    </xf>
    <xf numFmtId="0" fontId="6" fillId="0" borderId="4" xfId="22" applyFont="1" applyBorder="1" applyAlignment="1">
      <alignment vertical="center" shrinkToFit="1"/>
      <protection/>
    </xf>
    <xf numFmtId="0" fontId="5" fillId="0" borderId="0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center" vertical="center" shrinkToFit="1"/>
      <protection/>
    </xf>
    <xf numFmtId="176" fontId="5" fillId="0" borderId="1" xfId="22" applyNumberFormat="1" applyFont="1" applyFill="1" applyBorder="1" applyAlignment="1">
      <alignment vertical="center" shrinkToFit="1"/>
      <protection/>
    </xf>
    <xf numFmtId="176" fontId="5" fillId="0" borderId="1" xfId="22" applyNumberFormat="1" applyFont="1" applyFill="1" applyBorder="1" applyAlignment="1">
      <alignment horizontal="right" vertical="center" shrinkToFit="1"/>
      <protection/>
    </xf>
    <xf numFmtId="176" fontId="6" fillId="0" borderId="1" xfId="22" applyNumberFormat="1" applyFont="1" applyFill="1" applyBorder="1" applyAlignment="1">
      <alignment horizontal="right" vertical="center" shrinkToFit="1"/>
      <protection/>
    </xf>
    <xf numFmtId="0" fontId="6" fillId="0" borderId="0" xfId="22" applyFont="1" applyFill="1" applyBorder="1" applyAlignment="1">
      <alignment vertical="center" shrinkToFit="1"/>
      <protection/>
    </xf>
    <xf numFmtId="0" fontId="6" fillId="0" borderId="0" xfId="0" applyFont="1" applyAlignment="1">
      <alignment vertical="center"/>
    </xf>
    <xf numFmtId="176" fontId="5" fillId="0" borderId="5" xfId="22" applyNumberFormat="1" applyFont="1" applyBorder="1" applyAlignment="1">
      <alignment horizontal="center" vertical="center"/>
      <protection/>
    </xf>
    <xf numFmtId="176" fontId="5" fillId="0" borderId="6" xfId="22" applyNumberFormat="1" applyFont="1" applyBorder="1" applyAlignment="1">
      <alignment vertical="center" shrinkToFit="1"/>
      <protection/>
    </xf>
    <xf numFmtId="176" fontId="6" fillId="0" borderId="6" xfId="22" applyNumberFormat="1" applyFont="1" applyBorder="1" applyAlignment="1">
      <alignment vertical="center" shrinkToFit="1"/>
      <protection/>
    </xf>
    <xf numFmtId="0" fontId="5" fillId="0" borderId="2" xfId="22" applyFont="1" applyBorder="1" applyAlignment="1">
      <alignment horizontal="left" vertical="center" shrinkToFit="1"/>
      <protection/>
    </xf>
    <xf numFmtId="176" fontId="5" fillId="0" borderId="6" xfId="22" applyNumberFormat="1" applyFont="1" applyFill="1" applyBorder="1" applyAlignment="1">
      <alignment vertical="center" shrinkToFit="1"/>
      <protection/>
    </xf>
    <xf numFmtId="176" fontId="5" fillId="0" borderId="6" xfId="22" applyNumberFormat="1" applyFont="1" applyFill="1" applyBorder="1" applyAlignment="1">
      <alignment horizontal="right" vertical="center" shrinkToFit="1"/>
      <protection/>
    </xf>
    <xf numFmtId="0" fontId="6" fillId="0" borderId="7" xfId="0" applyFont="1" applyBorder="1" applyAlignment="1">
      <alignment vertical="center"/>
    </xf>
    <xf numFmtId="176" fontId="5" fillId="0" borderId="8" xfId="22" applyNumberFormat="1" applyFont="1" applyFill="1" applyBorder="1" applyAlignment="1">
      <alignment vertical="center" shrinkToFit="1"/>
      <protection/>
    </xf>
    <xf numFmtId="176" fontId="5" fillId="0" borderId="9" xfId="22" applyNumberFormat="1" applyFont="1" applyFill="1" applyBorder="1" applyAlignment="1">
      <alignment vertical="center" shrinkToFit="1"/>
      <protection/>
    </xf>
    <xf numFmtId="176" fontId="5" fillId="0" borderId="10" xfId="22" applyNumberFormat="1" applyFont="1" applyFill="1" applyBorder="1" applyAlignment="1">
      <alignment vertical="center" shrinkToFit="1"/>
      <protection/>
    </xf>
    <xf numFmtId="41" fontId="6" fillId="0" borderId="1" xfId="17" applyFont="1" applyBorder="1" applyAlignment="1">
      <alignment vertical="center" shrinkToFit="1"/>
    </xf>
    <xf numFmtId="176" fontId="5" fillId="0" borderId="10" xfId="22" applyNumberFormat="1" applyFont="1" applyBorder="1" applyAlignment="1">
      <alignment vertical="center" shrinkToFi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4" xfId="22" applyFont="1" applyBorder="1" applyAlignment="1">
      <alignment horizontal="left" vertical="center" shrinkToFit="1"/>
      <protection/>
    </xf>
    <xf numFmtId="176" fontId="4" fillId="0" borderId="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" xfId="17" applyNumberFormat="1" applyFont="1" applyBorder="1" applyAlignment="1">
      <alignment vertical="center" shrinkToFit="1"/>
    </xf>
    <xf numFmtId="176" fontId="6" fillId="0" borderId="1" xfId="17" applyNumberFormat="1" applyFont="1" applyBorder="1" applyAlignment="1">
      <alignment vertical="center" shrinkToFit="1"/>
    </xf>
    <xf numFmtId="176" fontId="6" fillId="0" borderId="6" xfId="17" applyNumberFormat="1" applyFont="1" applyBorder="1" applyAlignment="1">
      <alignment vertical="center" shrinkToFit="1"/>
    </xf>
    <xf numFmtId="176" fontId="6" fillId="0" borderId="1" xfId="17" applyNumberFormat="1" applyFont="1" applyFill="1" applyBorder="1" applyAlignment="1">
      <alignment vertical="center" shrinkToFit="1"/>
    </xf>
    <xf numFmtId="176" fontId="5" fillId="0" borderId="1" xfId="17" applyNumberFormat="1" applyFont="1" applyFill="1" applyBorder="1" applyAlignment="1">
      <alignment vertical="center" shrinkToFit="1"/>
    </xf>
    <xf numFmtId="176" fontId="5" fillId="0" borderId="6" xfId="17" applyNumberFormat="1" applyFont="1" applyFill="1" applyBorder="1" applyAlignment="1">
      <alignment vertical="center" shrinkToFit="1"/>
    </xf>
    <xf numFmtId="176" fontId="6" fillId="0" borderId="6" xfId="17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22" applyFont="1" applyFill="1" applyBorder="1" applyAlignment="1">
      <alignment vertical="center"/>
      <protection/>
    </xf>
    <xf numFmtId="41" fontId="5" fillId="0" borderId="14" xfId="0" applyNumberFormat="1" applyFont="1" applyFill="1" applyBorder="1" applyAlignment="1">
      <alignment horizontal="center" vertical="center"/>
    </xf>
    <xf numFmtId="192" fontId="7" fillId="0" borderId="1" xfId="22" applyNumberFormat="1" applyFont="1" applyBorder="1" applyAlignment="1">
      <alignment vertical="center" shrinkToFit="1"/>
      <protection/>
    </xf>
    <xf numFmtId="176" fontId="5" fillId="0" borderId="3" xfId="22" applyNumberFormat="1" applyFont="1" applyFill="1" applyBorder="1" applyAlignment="1">
      <alignment horizontal="center" vertical="center"/>
      <protection/>
    </xf>
    <xf numFmtId="176" fontId="6" fillId="0" borderId="8" xfId="22" applyNumberFormat="1" applyFont="1" applyFill="1" applyBorder="1" applyAlignment="1">
      <alignment vertical="center" shrinkToFit="1"/>
      <protection/>
    </xf>
    <xf numFmtId="41" fontId="6" fillId="0" borderId="1" xfId="22" applyNumberFormat="1" applyFont="1" applyBorder="1" applyAlignment="1">
      <alignment vertical="center" shrinkToFit="1"/>
      <protection/>
    </xf>
    <xf numFmtId="41" fontId="6" fillId="0" borderId="1" xfId="22" applyNumberFormat="1" applyFont="1" applyFill="1" applyBorder="1" applyAlignment="1">
      <alignment vertical="center" shrinkToFit="1"/>
      <protection/>
    </xf>
    <xf numFmtId="41" fontId="6" fillId="0" borderId="1" xfId="17" applyFont="1" applyFill="1" applyBorder="1" applyAlignment="1">
      <alignment vertical="center" shrinkToFit="1"/>
    </xf>
    <xf numFmtId="41" fontId="5" fillId="0" borderId="1" xfId="17" applyFont="1" applyFill="1" applyBorder="1" applyAlignment="1">
      <alignment vertical="center" shrinkToFit="1"/>
    </xf>
    <xf numFmtId="41" fontId="6" fillId="0" borderId="6" xfId="22" applyNumberFormat="1" applyFont="1" applyBorder="1" applyAlignment="1">
      <alignment vertical="center" shrinkToFit="1"/>
      <protection/>
    </xf>
    <xf numFmtId="0" fontId="6" fillId="0" borderId="2" xfId="22" applyFont="1" applyBorder="1" applyAlignment="1">
      <alignment horizontal="left" vertical="center" shrinkToFit="1"/>
      <protection/>
    </xf>
    <xf numFmtId="41" fontId="6" fillId="0" borderId="1" xfId="17" applyNumberFormat="1" applyFont="1" applyBorder="1" applyAlignment="1">
      <alignment vertical="center" shrinkToFit="1"/>
    </xf>
    <xf numFmtId="41" fontId="5" fillId="0" borderId="10" xfId="17" applyFont="1" applyFill="1" applyBorder="1" applyAlignment="1">
      <alignment vertical="center" shrinkToFit="1"/>
    </xf>
    <xf numFmtId="41" fontId="6" fillId="0" borderId="1" xfId="17" applyFont="1" applyFill="1" applyBorder="1" applyAlignment="1">
      <alignment horizontal="right" vertical="center" shrinkToFit="1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41" fontId="5" fillId="0" borderId="1" xfId="17" applyFont="1" applyBorder="1" applyAlignment="1">
      <alignment vertical="center" shrinkToFit="1"/>
    </xf>
    <xf numFmtId="41" fontId="5" fillId="0" borderId="0" xfId="17" applyFont="1" applyBorder="1" applyAlignment="1">
      <alignment vertical="center" shrinkToFit="1"/>
    </xf>
    <xf numFmtId="176" fontId="5" fillId="0" borderId="0" xfId="17" applyNumberFormat="1" applyFont="1" applyBorder="1" applyAlignment="1">
      <alignment vertical="center" shrinkToFit="1"/>
    </xf>
    <xf numFmtId="176" fontId="5" fillId="0" borderId="0" xfId="17" applyNumberFormat="1" applyFont="1" applyAlignment="1">
      <alignment vertical="center"/>
    </xf>
    <xf numFmtId="41" fontId="6" fillId="0" borderId="0" xfId="17" applyFont="1" applyBorder="1" applyAlignment="1">
      <alignment vertical="center" shrinkToFit="1"/>
    </xf>
    <xf numFmtId="0" fontId="6" fillId="0" borderId="0" xfId="21" applyFont="1" applyAlignment="1">
      <alignment vertical="center"/>
      <protection/>
    </xf>
    <xf numFmtId="0" fontId="6" fillId="0" borderId="8" xfId="0" applyFont="1" applyBorder="1" applyAlignment="1">
      <alignment vertical="center"/>
    </xf>
    <xf numFmtId="41" fontId="6" fillId="0" borderId="0" xfId="17" applyFont="1" applyAlignment="1">
      <alignment vertical="center"/>
    </xf>
    <xf numFmtId="176" fontId="6" fillId="0" borderId="0" xfId="17" applyNumberFormat="1" applyFont="1" applyAlignment="1">
      <alignment vertical="center"/>
    </xf>
    <xf numFmtId="0" fontId="5" fillId="0" borderId="4" xfId="22" applyFont="1" applyBorder="1" applyAlignment="1">
      <alignment vertical="center"/>
      <protection/>
    </xf>
    <xf numFmtId="41" fontId="0" fillId="0" borderId="0" xfId="0" applyNumberFormat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5" fillId="0" borderId="10" xfId="17" applyNumberFormat="1" applyFont="1" applyBorder="1" applyAlignment="1">
      <alignment vertical="center" shrinkToFit="1"/>
    </xf>
    <xf numFmtId="41" fontId="5" fillId="0" borderId="0" xfId="17" applyFont="1" applyAlignment="1">
      <alignment vertical="center"/>
    </xf>
    <xf numFmtId="41" fontId="6" fillId="0" borderId="15" xfId="17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41" fontId="5" fillId="0" borderId="15" xfId="17" applyFont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22" applyFont="1" applyBorder="1" applyAlignment="1">
      <alignment horizontal="left" vertical="center"/>
      <protection/>
    </xf>
    <xf numFmtId="0" fontId="6" fillId="0" borderId="4" xfId="22" applyFont="1" applyBorder="1" applyAlignment="1">
      <alignment horizontal="left" vertical="center"/>
      <protection/>
    </xf>
    <xf numFmtId="0" fontId="6" fillId="0" borderId="4" xfId="22" applyFont="1" applyFill="1" applyBorder="1" applyAlignment="1">
      <alignment vertical="center"/>
      <protection/>
    </xf>
    <xf numFmtId="0" fontId="6" fillId="0" borderId="17" xfId="22" applyFont="1" applyBorder="1" applyAlignment="1">
      <alignment vertical="center"/>
      <protection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4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6" fillId="0" borderId="0" xfId="22" applyFont="1" applyFill="1" applyBorder="1" applyAlignment="1">
      <alignment vertical="center"/>
      <protection/>
    </xf>
    <xf numFmtId="41" fontId="5" fillId="0" borderId="18" xfId="17" applyFont="1" applyFill="1" applyBorder="1" applyAlignment="1">
      <alignment vertical="center" shrinkToFit="1"/>
    </xf>
    <xf numFmtId="41" fontId="6" fillId="0" borderId="1" xfId="22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9" xfId="22" applyNumberFormat="1" applyFont="1" applyFill="1" applyBorder="1" applyAlignment="1">
      <alignment vertical="center" shrinkToFit="1"/>
      <protection/>
    </xf>
    <xf numFmtId="41" fontId="6" fillId="0" borderId="0" xfId="0" applyNumberFormat="1" applyFont="1" applyFill="1" applyBorder="1" applyAlignment="1">
      <alignment vertical="center"/>
    </xf>
    <xf numFmtId="176" fontId="5" fillId="0" borderId="20" xfId="22" applyNumberFormat="1" applyFont="1" applyBorder="1" applyAlignment="1">
      <alignment horizontal="center" vertical="center"/>
      <protection/>
    </xf>
    <xf numFmtId="176" fontId="5" fillId="0" borderId="19" xfId="22" applyNumberFormat="1" applyFont="1" applyFill="1" applyBorder="1" applyAlignment="1">
      <alignment vertical="center" shrinkToFit="1"/>
      <protection/>
    </xf>
    <xf numFmtId="41" fontId="6" fillId="0" borderId="19" xfId="22" applyNumberFormat="1" applyFont="1" applyBorder="1" applyAlignment="1">
      <alignment vertical="center" shrinkToFit="1"/>
      <protection/>
    </xf>
    <xf numFmtId="176" fontId="6" fillId="0" borderId="19" xfId="22" applyNumberFormat="1" applyFont="1" applyBorder="1" applyAlignment="1">
      <alignment vertical="center" shrinkToFit="1"/>
      <protection/>
    </xf>
    <xf numFmtId="41" fontId="6" fillId="0" borderId="19" xfId="22" applyNumberFormat="1" applyFont="1" applyFill="1" applyBorder="1" applyAlignment="1">
      <alignment vertical="center" shrinkToFit="1"/>
      <protection/>
    </xf>
    <xf numFmtId="176" fontId="6" fillId="0" borderId="19" xfId="17" applyNumberFormat="1" applyFont="1" applyBorder="1" applyAlignment="1">
      <alignment vertical="center" shrinkToFit="1"/>
    </xf>
    <xf numFmtId="176" fontId="6" fillId="0" borderId="19" xfId="17" applyNumberFormat="1" applyFont="1" applyFill="1" applyBorder="1" applyAlignment="1">
      <alignment vertical="center" shrinkToFit="1"/>
    </xf>
    <xf numFmtId="41" fontId="6" fillId="0" borderId="19" xfId="22" applyNumberFormat="1" applyFont="1" applyBorder="1" applyAlignment="1">
      <alignment horizontal="center" vertical="center" shrinkToFit="1"/>
      <protection/>
    </xf>
    <xf numFmtId="176" fontId="5" fillId="0" borderId="19" xfId="17" applyNumberFormat="1" applyFont="1" applyBorder="1" applyAlignment="1">
      <alignment vertical="center" shrinkToFit="1"/>
    </xf>
    <xf numFmtId="176" fontId="5" fillId="0" borderId="19" xfId="17" applyNumberFormat="1" applyFont="1" applyFill="1" applyBorder="1" applyAlignment="1">
      <alignment vertical="center" shrinkToFit="1"/>
    </xf>
    <xf numFmtId="176" fontId="5" fillId="0" borderId="19" xfId="22" applyNumberFormat="1" applyFont="1" applyFill="1" applyBorder="1" applyAlignment="1">
      <alignment horizontal="right" vertical="center" shrinkToFit="1"/>
      <protection/>
    </xf>
    <xf numFmtId="176" fontId="5" fillId="0" borderId="21" xfId="22" applyNumberFormat="1" applyFont="1" applyFill="1" applyBorder="1" applyAlignment="1">
      <alignment vertical="center" shrinkToFit="1"/>
      <protection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6" fillId="0" borderId="19" xfId="17" applyFont="1" applyFill="1" applyBorder="1" applyAlignment="1">
      <alignment horizontal="right" vertical="center" shrinkToFit="1"/>
    </xf>
    <xf numFmtId="41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11" xfId="22" applyNumberFormat="1" applyFont="1" applyBorder="1" applyAlignment="1">
      <alignment horizontal="center" vertical="center"/>
      <protection/>
    </xf>
    <xf numFmtId="176" fontId="5" fillId="0" borderId="4" xfId="22" applyNumberFormat="1" applyFont="1" applyFill="1" applyBorder="1" applyAlignment="1">
      <alignment vertical="center" shrinkToFit="1"/>
      <protection/>
    </xf>
    <xf numFmtId="41" fontId="6" fillId="0" borderId="0" xfId="22" applyNumberFormat="1" applyFont="1" applyBorder="1" applyAlignment="1">
      <alignment vertical="center" shrinkToFit="1"/>
      <protection/>
    </xf>
    <xf numFmtId="176" fontId="6" fillId="0" borderId="0" xfId="22" applyNumberFormat="1" applyFont="1" applyBorder="1" applyAlignment="1">
      <alignment vertical="center" shrinkToFit="1"/>
      <protection/>
    </xf>
    <xf numFmtId="41" fontId="6" fillId="0" borderId="0" xfId="22" applyNumberFormat="1" applyFont="1" applyFill="1" applyBorder="1" applyAlignment="1">
      <alignment vertical="center" shrinkToFit="1"/>
      <protection/>
    </xf>
    <xf numFmtId="176" fontId="6" fillId="0" borderId="0" xfId="22" applyNumberFormat="1" applyFont="1" applyFill="1" applyBorder="1" applyAlignment="1">
      <alignment vertical="center" shrinkToFit="1"/>
      <protection/>
    </xf>
    <xf numFmtId="176" fontId="6" fillId="0" borderId="0" xfId="17" applyNumberFormat="1" applyFont="1" applyBorder="1" applyAlignment="1">
      <alignment vertical="center" shrinkToFit="1"/>
    </xf>
    <xf numFmtId="176" fontId="6" fillId="0" borderId="0" xfId="17" applyNumberFormat="1" applyFont="1" applyFill="1" applyBorder="1" applyAlignment="1">
      <alignment vertical="center" shrinkToFit="1"/>
    </xf>
    <xf numFmtId="176" fontId="6" fillId="0" borderId="4" xfId="22" applyNumberFormat="1" applyFont="1" applyFill="1" applyBorder="1" applyAlignment="1">
      <alignment vertical="center" shrinkToFit="1"/>
      <protection/>
    </xf>
    <xf numFmtId="41" fontId="6" fillId="0" borderId="0" xfId="22" applyNumberFormat="1" applyFont="1" applyBorder="1" applyAlignment="1">
      <alignment horizontal="center" vertical="center" shrinkToFit="1"/>
      <protection/>
    </xf>
    <xf numFmtId="176" fontId="5" fillId="0" borderId="26" xfId="22" applyNumberFormat="1" applyFont="1" applyFill="1" applyBorder="1" applyAlignment="1">
      <alignment vertical="center" shrinkToFit="1"/>
      <protection/>
    </xf>
    <xf numFmtId="176" fontId="5" fillId="0" borderId="0" xfId="22" applyNumberFormat="1" applyFont="1" applyFill="1" applyBorder="1" applyAlignment="1">
      <alignment vertical="center" shrinkToFit="1"/>
      <protection/>
    </xf>
    <xf numFmtId="176" fontId="5" fillId="0" borderId="0" xfId="17" applyNumberFormat="1" applyFont="1" applyFill="1" applyBorder="1" applyAlignment="1">
      <alignment vertical="center" shrinkToFit="1"/>
    </xf>
    <xf numFmtId="176" fontId="5" fillId="0" borderId="0" xfId="22" applyNumberFormat="1" applyFont="1" applyFill="1" applyBorder="1" applyAlignment="1">
      <alignment horizontal="right" vertical="center" shrinkToFit="1"/>
      <protection/>
    </xf>
    <xf numFmtId="176" fontId="6" fillId="0" borderId="4" xfId="22" applyNumberFormat="1" applyFont="1" applyFill="1" applyBorder="1" applyAlignment="1">
      <alignment horizontal="right" vertical="center" shrinkToFit="1"/>
      <protection/>
    </xf>
    <xf numFmtId="41" fontId="5" fillId="0" borderId="4" xfId="17" applyFont="1" applyFill="1" applyBorder="1" applyAlignment="1">
      <alignment vertical="center" shrinkToFit="1"/>
    </xf>
    <xf numFmtId="41" fontId="6" fillId="0" borderId="0" xfId="17" applyFont="1" applyFill="1" applyBorder="1" applyAlignment="1">
      <alignment horizontal="right" vertical="center" shrinkToFit="1"/>
    </xf>
    <xf numFmtId="41" fontId="5" fillId="0" borderId="26" xfId="17" applyFont="1" applyFill="1" applyBorder="1" applyAlignment="1">
      <alignment vertical="center" shrinkToFit="1"/>
    </xf>
    <xf numFmtId="176" fontId="5" fillId="0" borderId="26" xfId="22" applyNumberFormat="1" applyFont="1" applyBorder="1" applyAlignment="1">
      <alignment vertical="center" shrinkToFit="1"/>
      <protection/>
    </xf>
    <xf numFmtId="176" fontId="5" fillId="0" borderId="7" xfId="22" applyNumberFormat="1" applyFont="1" applyFill="1" applyBorder="1" applyAlignment="1">
      <alignment vertical="center" shrinkToFit="1"/>
      <protection/>
    </xf>
    <xf numFmtId="41" fontId="6" fillId="0" borderId="6" xfId="22" applyNumberFormat="1" applyFont="1" applyFill="1" applyBorder="1" applyAlignment="1">
      <alignment vertical="center" shrinkToFit="1"/>
      <protection/>
    </xf>
    <xf numFmtId="176" fontId="6" fillId="0" borderId="6" xfId="22" applyNumberFormat="1" applyFont="1" applyFill="1" applyBorder="1" applyAlignment="1">
      <alignment vertical="center" shrinkToFit="1"/>
      <protection/>
    </xf>
    <xf numFmtId="176" fontId="6" fillId="0" borderId="6" xfId="17" applyNumberFormat="1" applyFont="1" applyFill="1" applyBorder="1" applyAlignment="1">
      <alignment vertical="center" shrinkToFit="1"/>
    </xf>
    <xf numFmtId="41" fontId="6" fillId="0" borderId="6" xfId="22" applyNumberFormat="1" applyFont="1" applyBorder="1" applyAlignment="1">
      <alignment horizontal="center" vertical="center" shrinkToFit="1"/>
      <protection/>
    </xf>
    <xf numFmtId="176" fontId="5" fillId="0" borderId="18" xfId="22" applyNumberFormat="1" applyFont="1" applyFill="1" applyBorder="1" applyAlignment="1">
      <alignment vertical="center" shrinkToFit="1"/>
      <protection/>
    </xf>
    <xf numFmtId="176" fontId="5" fillId="0" borderId="6" xfId="17" applyNumberFormat="1" applyFont="1" applyBorder="1" applyAlignment="1">
      <alignment vertical="center" shrinkToFit="1"/>
    </xf>
    <xf numFmtId="176" fontId="6" fillId="0" borderId="6" xfId="22" applyNumberFormat="1" applyFont="1" applyFill="1" applyBorder="1" applyAlignment="1">
      <alignment horizontal="right" vertical="center" shrinkToFit="1"/>
      <protection/>
    </xf>
    <xf numFmtId="41" fontId="5" fillId="0" borderId="6" xfId="17" applyFont="1" applyFill="1" applyBorder="1" applyAlignment="1">
      <alignment vertical="center" shrinkToFit="1"/>
    </xf>
    <xf numFmtId="41" fontId="6" fillId="0" borderId="6" xfId="17" applyFont="1" applyFill="1" applyBorder="1" applyAlignment="1">
      <alignment horizontal="right" vertical="center" shrinkToFit="1"/>
    </xf>
    <xf numFmtId="176" fontId="5" fillId="0" borderId="18" xfId="22" applyNumberFormat="1" applyFont="1" applyBorder="1" applyAlignment="1">
      <alignment vertical="center" shrinkToFi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6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 vertical="center"/>
    </xf>
    <xf numFmtId="176" fontId="5" fillId="0" borderId="4" xfId="17" applyNumberFormat="1" applyFont="1" applyBorder="1" applyAlignment="1">
      <alignment vertical="center" shrinkToFit="1"/>
    </xf>
    <xf numFmtId="41" fontId="5" fillId="0" borderId="4" xfId="17" applyFont="1" applyBorder="1" applyAlignment="1">
      <alignment vertical="center" shrinkToFit="1"/>
    </xf>
    <xf numFmtId="41" fontId="5" fillId="0" borderId="6" xfId="17" applyFont="1" applyBorder="1" applyAlignment="1">
      <alignment vertical="center" shrinkToFit="1"/>
    </xf>
    <xf numFmtId="41" fontId="5" fillId="2" borderId="27" xfId="17" applyFont="1" applyFill="1" applyBorder="1" applyAlignment="1">
      <alignment horizontal="left" vertical="center"/>
    </xf>
    <xf numFmtId="176" fontId="5" fillId="0" borderId="27" xfId="17" applyNumberFormat="1" applyFont="1" applyBorder="1" applyAlignment="1">
      <alignment horizontal="left" vertical="center" shrinkToFit="1"/>
    </xf>
    <xf numFmtId="0" fontId="5" fillId="0" borderId="27" xfId="21" applyFont="1" applyBorder="1" applyAlignment="1">
      <alignment horizontal="left" vertical="center" shrinkToFit="1"/>
      <protection/>
    </xf>
    <xf numFmtId="0" fontId="6" fillId="0" borderId="27" xfId="21" applyFont="1" applyBorder="1" applyAlignment="1">
      <alignment horizontal="left" vertical="center" shrinkToFit="1"/>
      <protection/>
    </xf>
    <xf numFmtId="41" fontId="6" fillId="0" borderId="6" xfId="17" applyFont="1" applyBorder="1" applyAlignment="1">
      <alignment vertical="center" shrinkToFit="1"/>
    </xf>
    <xf numFmtId="0" fontId="5" fillId="0" borderId="27" xfId="21" applyFont="1" applyFill="1" applyBorder="1" applyAlignment="1">
      <alignment horizontal="left" vertical="center" shrinkToFit="1"/>
      <protection/>
    </xf>
    <xf numFmtId="0" fontId="6" fillId="0" borderId="2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1" fontId="11" fillId="0" borderId="0" xfId="17" applyFont="1" applyAlignment="1">
      <alignment horizontal="right" vertical="center"/>
    </xf>
    <xf numFmtId="41" fontId="11" fillId="0" borderId="0" xfId="17" applyFont="1" applyFill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176" fontId="9" fillId="0" borderId="29" xfId="22" applyNumberFormat="1" applyFont="1" applyBorder="1" applyAlignment="1">
      <alignment horizontal="center" vertical="center" wrapText="1" shrinkToFit="1"/>
      <protection/>
    </xf>
    <xf numFmtId="176" fontId="9" fillId="0" borderId="30" xfId="22" applyNumberFormat="1" applyFont="1" applyBorder="1" applyAlignment="1">
      <alignment horizontal="center" vertical="center" wrapText="1" shrinkToFit="1"/>
      <protection/>
    </xf>
    <xf numFmtId="176" fontId="9" fillId="0" borderId="31" xfId="22" applyNumberFormat="1" applyFont="1" applyBorder="1" applyAlignment="1">
      <alignment horizontal="center" vertical="center" wrapText="1" shrinkToFit="1"/>
      <protection/>
    </xf>
    <xf numFmtId="176" fontId="9" fillId="0" borderId="32" xfId="22" applyNumberFormat="1" applyFont="1" applyBorder="1" applyAlignment="1">
      <alignment horizontal="center" vertical="center" wrapText="1" shrinkToFit="1"/>
      <protection/>
    </xf>
    <xf numFmtId="176" fontId="9" fillId="0" borderId="31" xfId="22" applyNumberFormat="1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21" applyFont="1" applyAlignment="1">
      <alignment horizontal="right" vertical="center"/>
      <protection/>
    </xf>
    <xf numFmtId="0" fontId="12" fillId="0" borderId="0" xfId="21" applyFont="1" applyAlignment="1">
      <alignment vertical="center"/>
      <protection/>
    </xf>
    <xf numFmtId="0" fontId="9" fillId="0" borderId="33" xfId="21" applyFont="1" applyFill="1" applyBorder="1" applyAlignment="1">
      <alignment horizontal="center" vertical="center"/>
      <protection/>
    </xf>
    <xf numFmtId="41" fontId="9" fillId="0" borderId="29" xfId="17" applyFont="1" applyFill="1" applyBorder="1" applyAlignment="1">
      <alignment horizontal="center" vertical="center"/>
    </xf>
    <xf numFmtId="0" fontId="9" fillId="0" borderId="0" xfId="21" applyFont="1" applyFill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3" fillId="0" borderId="1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3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22" applyFont="1" applyFill="1" applyBorder="1" applyAlignment="1">
      <alignment vertical="center"/>
      <protection/>
    </xf>
    <xf numFmtId="0" fontId="6" fillId="0" borderId="2" xfId="22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vertical="center"/>
    </xf>
    <xf numFmtId="176" fontId="6" fillId="4" borderId="19" xfId="22" applyNumberFormat="1" applyFont="1" applyFill="1" applyBorder="1" applyAlignment="1">
      <alignment vertical="center" shrinkToFit="1"/>
      <protection/>
    </xf>
    <xf numFmtId="176" fontId="5" fillId="4" borderId="1" xfId="22" applyNumberFormat="1" applyFont="1" applyFill="1" applyBorder="1" applyAlignment="1">
      <alignment vertical="center" shrinkToFit="1"/>
      <protection/>
    </xf>
    <xf numFmtId="176" fontId="9" fillId="0" borderId="29" xfId="22" applyNumberFormat="1" applyFont="1" applyFill="1" applyBorder="1" applyAlignment="1">
      <alignment horizontal="center" vertical="center" wrapText="1" shrinkToFit="1"/>
      <protection/>
    </xf>
    <xf numFmtId="176" fontId="6" fillId="0" borderId="0" xfId="0" applyNumberFormat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2" xfId="22" applyFont="1" applyBorder="1" applyAlignment="1">
      <alignment horizontal="lef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22" applyFont="1" applyBorder="1" applyAlignment="1">
      <alignment horizontal="left" vertical="center" shrinkToFit="1"/>
      <protection/>
    </xf>
    <xf numFmtId="0" fontId="5" fillId="0" borderId="0" xfId="22" applyFont="1" applyBorder="1" applyAlignment="1">
      <alignment horizontal="left" vertical="center" shrinkToFit="1"/>
      <protection/>
    </xf>
    <xf numFmtId="0" fontId="5" fillId="0" borderId="4" xfId="22" applyFont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0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0" fontId="5" fillId="0" borderId="0" xfId="22" applyFont="1" applyFill="1" applyBorder="1" applyAlignment="1">
      <alignment horizontal="lef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22" applyFont="1" applyBorder="1" applyAlignment="1">
      <alignment vertical="center" shrinkToFit="1"/>
      <protection/>
    </xf>
    <xf numFmtId="0" fontId="5" fillId="0" borderId="4" xfId="22" applyFont="1" applyBorder="1" applyAlignment="1">
      <alignment vertical="center" shrinkToFit="1"/>
      <protection/>
    </xf>
    <xf numFmtId="0" fontId="9" fillId="0" borderId="35" xfId="22" applyFont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 vertical="center"/>
      <protection/>
    </xf>
    <xf numFmtId="0" fontId="9" fillId="0" borderId="36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기금결산(최종)" xfId="21"/>
    <cellStyle name="표준_Sheet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Heon\&#48148;&#53461;%20&#54868;&#47732;\CR-06GSND%20(gyungsangnamdo)\06%20Closing%20Review%20Work\03%20&#44221;&#49345;&#45224;&#46020;-&#51089;&#50629;&#51473;\B%20&#44221;&#45224;%20&#54633;&#51092;(2007.05.08)-working%20sheet\&#53945;&#48324;&#54924;&#44228;-&#51116;&#47924;&#51228;&#54364;working%20sheet\5%20&#51032;&#47308;&#44553;&#50668;-workingsheet\&#51032;&#47308;&#44553;&#50668;_&#54633;&#51092;(&#44592;&#52488;+&#44592;&#52488;&#51116;&#54217;&#44032;)-workingshe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45453;&#44277;&#45800;&#5164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49688;&#51656;&#44060;&#4944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51109;&#44592;&#48120;&#51665;&#5466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44592;&#48152;&#49884;&#4944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%20&#48516;&#44060;&#51221;&#47532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_&#44208;&#49328;&#49688;&#51221;&#48516;&#44060;&#54364;%202.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Heon\&#48148;&#53461;%20&#54868;&#47732;\CR2008\gsnd%20&#54260;&#45908;\&#48372;&#44256;&#49436;%20&#51089;&#50629;&#51473;_gsnd%2017%20&#49324;&#52380;&#49884;(&#44277;,&#44592;)\&#49324;&#52380;&#49884;&#44208;&#49328;&#48372;&#51221;&#51088;&#47308;%20&#44160;&#53664;&#50857;---\check_01%20&#51116;&#51221;&#51088;&#44552;(&#51088;&#44552;&#51060;%20&#49884;&#49328;&#54364;&#50752;%20&#48520;&#51068;&#52824;)-&#44592;&#53945;,&#44592;&#44552;&#51080;&#510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Heon\&#48148;&#53461;%20&#54868;&#47732;\CR2008\gsnd%20&#54260;&#45908;\&#48372;&#44256;&#49436;%20&#51089;&#50629;&#51473;_gsnd%2017%20&#49324;&#52380;&#49884;(&#44277;,&#44592;)\&#49324;&#52380;&#49884;&#44208;&#49328;&#48372;&#51221;&#51088;&#47308;%20&#44160;&#53664;&#50857;---\accept_21&#44048;&#44032;&#49345;&#44033;&#48143;&#47924;&#54805;&#51088;&#49328;&#49345;&#44033;&#48708;&#50857;2.0---5.13-&#44592;&#53945;&#51080;&#510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Heon\&#48148;&#53461;%20&#54868;&#47732;\CR-06GSND%20(gyungsangnamdo)\06%20Closing%20Review%20Work\&#48372;&#44256;&#49436;_01%20&#44221;&#49345;&#45224;&#46020;\C%20&#44221;&#45224;--2006&#44208;&#49328;&#48372;&#51221;&#51088;&#47308;\&#44221;&#45224;_&#52572;&#51333;&#51216;&#44160;%20&#48143;%20&#49688;&#51221;-AJE&amp;RJE(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51452;&#53469;&#49324;&#506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53664;&#51648;&#44396;&#54925;&#51221;&#475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51032;&#47308;&#44553;&#5066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44592;&#52488;&#49373;&#54876;&#48372;&#51109;&#49688;&#44553;&#44428;&#51088;&#49373;&#54876;&#50504;&#5120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49352;&#47560;&#51012;&#49548;&#4630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48156;&#51204;&#49548;&#51452;&#48320;&#51648;&#5066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9548;&#44592;&#50629;&#50977;&#494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의료급여_합잔(기초+기초재평가) "/>
      <sheetName val="working"/>
    </sheetNames>
    <sheetDataSet>
      <sheetData sheetId="1">
        <row r="66">
          <cell r="L66">
            <v>282756705000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농공단지"/>
    </sheetNames>
    <sheetDataSet>
      <sheetData sheetId="0">
        <row r="3">
          <cell r="E3">
            <v>1343557957</v>
          </cell>
        </row>
        <row r="5">
          <cell r="A5">
            <v>2300000000</v>
          </cell>
        </row>
        <row r="7">
          <cell r="A7">
            <v>27583080</v>
          </cell>
        </row>
        <row r="9">
          <cell r="A9">
            <v>5822820</v>
          </cell>
        </row>
        <row r="10">
          <cell r="A10">
            <v>4154521</v>
          </cell>
        </row>
        <row r="12">
          <cell r="A12">
            <v>232511000</v>
          </cell>
        </row>
        <row r="14">
          <cell r="A14">
            <v>3937000</v>
          </cell>
        </row>
        <row r="16">
          <cell r="E16">
            <v>1586827</v>
          </cell>
        </row>
        <row r="18">
          <cell r="A18">
            <v>6600000</v>
          </cell>
        </row>
        <row r="20">
          <cell r="A20">
            <v>5104639100</v>
          </cell>
        </row>
        <row r="21">
          <cell r="A21">
            <v>790981800</v>
          </cell>
        </row>
        <row r="23">
          <cell r="E23">
            <v>521267303</v>
          </cell>
        </row>
        <row r="25">
          <cell r="A25">
            <v>977274960</v>
          </cell>
        </row>
        <row r="28">
          <cell r="E28">
            <v>129891041</v>
          </cell>
        </row>
        <row r="30">
          <cell r="E30">
            <v>7934000000</v>
          </cell>
        </row>
        <row r="32">
          <cell r="A32">
            <v>168165377</v>
          </cell>
        </row>
        <row r="34">
          <cell r="A34">
            <v>795480</v>
          </cell>
        </row>
        <row r="36">
          <cell r="A36">
            <v>8041100</v>
          </cell>
        </row>
        <row r="38">
          <cell r="A38">
            <v>550000</v>
          </cell>
        </row>
        <row r="40">
          <cell r="A40">
            <v>13086170</v>
          </cell>
        </row>
        <row r="42">
          <cell r="A42">
            <v>872120</v>
          </cell>
        </row>
        <row r="44">
          <cell r="A44">
            <v>7598600</v>
          </cell>
        </row>
        <row r="46">
          <cell r="A46">
            <v>277690000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수질개선"/>
    </sheetNames>
    <sheetDataSet>
      <sheetData sheetId="0">
        <row r="3">
          <cell r="E3">
            <v>761063380</v>
          </cell>
        </row>
        <row r="5">
          <cell r="A5">
            <v>2796000</v>
          </cell>
        </row>
        <row r="7">
          <cell r="A7">
            <v>10700000</v>
          </cell>
        </row>
        <row r="9">
          <cell r="A9">
            <v>300000</v>
          </cell>
        </row>
        <row r="14">
          <cell r="E14">
            <v>4533700</v>
          </cell>
        </row>
        <row r="19">
          <cell r="A19">
            <v>61849000</v>
          </cell>
        </row>
        <row r="21">
          <cell r="A21">
            <v>500000</v>
          </cell>
        </row>
        <row r="23">
          <cell r="A23">
            <v>3041000</v>
          </cell>
        </row>
        <row r="25">
          <cell r="A25">
            <v>900000</v>
          </cell>
        </row>
        <row r="27">
          <cell r="A27">
            <v>72000</v>
          </cell>
        </row>
        <row r="29">
          <cell r="A29">
            <v>13704000</v>
          </cell>
        </row>
        <row r="31">
          <cell r="A31">
            <v>59735080</v>
          </cell>
        </row>
        <row r="33">
          <cell r="A33">
            <v>4000000</v>
          </cell>
        </row>
        <row r="35">
          <cell r="A35">
            <v>50000000</v>
          </cell>
        </row>
        <row r="37">
          <cell r="A37">
            <v>558000000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장기미집행"/>
    </sheetNames>
    <sheetDataSet>
      <sheetData sheetId="0">
        <row r="3">
          <cell r="A3">
            <v>963103770</v>
          </cell>
        </row>
        <row r="7">
          <cell r="E7">
            <v>970797170</v>
          </cell>
        </row>
        <row r="9">
          <cell r="A9">
            <v>7693400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반시설"/>
    </sheetNames>
    <sheetDataSet>
      <sheetData sheetId="0">
        <row r="3">
          <cell r="A3">
            <v>54439420</v>
          </cell>
        </row>
        <row r="5">
          <cell r="A5">
            <v>36827000</v>
          </cell>
        </row>
        <row r="7">
          <cell r="E7">
            <v>91266420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일반회계"/>
      <sheetName val="기특"/>
      <sheetName val="Sheet3"/>
    </sheetNames>
    <sheetDataSet>
      <sheetData sheetId="1">
        <row r="11">
          <cell r="D11">
            <v>-5822820</v>
          </cell>
        </row>
        <row r="16">
          <cell r="D16">
            <v>2106120</v>
          </cell>
        </row>
        <row r="17">
          <cell r="D17">
            <v>-162680</v>
          </cell>
        </row>
        <row r="18">
          <cell r="H18">
            <v>1535030370</v>
          </cell>
        </row>
        <row r="20">
          <cell r="H20">
            <v>1283402256</v>
          </cell>
        </row>
        <row r="22">
          <cell r="D22">
            <v>-12067220</v>
          </cell>
          <cell r="H22">
            <v>26000000</v>
          </cell>
        </row>
        <row r="24">
          <cell r="H24">
            <v>33861280</v>
          </cell>
        </row>
        <row r="25">
          <cell r="D25">
            <v>-64116030</v>
          </cell>
        </row>
        <row r="26">
          <cell r="H26">
            <v>75934680</v>
          </cell>
        </row>
        <row r="28">
          <cell r="D28">
            <v>-15366955</v>
          </cell>
          <cell r="H28">
            <v>85271120</v>
          </cell>
        </row>
        <row r="30">
          <cell r="H30">
            <v>264556080</v>
          </cell>
        </row>
        <row r="32">
          <cell r="H32">
            <v>1674003353</v>
          </cell>
        </row>
        <row r="34">
          <cell r="J34">
            <v>87000000</v>
          </cell>
        </row>
        <row r="36">
          <cell r="J36">
            <v>2066833000</v>
          </cell>
        </row>
        <row r="38">
          <cell r="J38">
            <v>261865340</v>
          </cell>
        </row>
        <row r="43">
          <cell r="D43">
            <v>61026750</v>
          </cell>
        </row>
        <row r="46">
          <cell r="J46">
            <v>-27583080</v>
          </cell>
        </row>
        <row r="48">
          <cell r="J48">
            <v>-5409040</v>
          </cell>
        </row>
        <row r="50">
          <cell r="J50">
            <v>49650600</v>
          </cell>
        </row>
        <row r="52">
          <cell r="J52">
            <v>-260000000</v>
          </cell>
        </row>
        <row r="54">
          <cell r="J54">
            <v>-36775000</v>
          </cell>
        </row>
        <row r="56">
          <cell r="D56">
            <v>449220</v>
          </cell>
        </row>
        <row r="57">
          <cell r="D57">
            <v>1373563000</v>
          </cell>
        </row>
        <row r="58">
          <cell r="D58">
            <v>22043550</v>
          </cell>
        </row>
        <row r="59">
          <cell r="D59">
            <v>97979680</v>
          </cell>
        </row>
        <row r="60">
          <cell r="D60">
            <v>40994920</v>
          </cell>
        </row>
        <row r="62">
          <cell r="D62">
            <v>655480976</v>
          </cell>
        </row>
        <row r="63">
          <cell r="D63">
            <v>18098460</v>
          </cell>
        </row>
        <row r="64">
          <cell r="D64">
            <v>604000000</v>
          </cell>
        </row>
        <row r="66">
          <cell r="D66">
            <v>26000000</v>
          </cell>
          <cell r="J66">
            <v>-27583080</v>
          </cell>
        </row>
        <row r="68">
          <cell r="J68">
            <v>-29479780</v>
          </cell>
        </row>
        <row r="69">
          <cell r="D69">
            <v>11896660</v>
          </cell>
        </row>
        <row r="70">
          <cell r="D70">
            <v>-162680</v>
          </cell>
          <cell r="J70">
            <v>-18210570</v>
          </cell>
        </row>
        <row r="72">
          <cell r="J72">
            <v>-522220000</v>
          </cell>
        </row>
        <row r="73">
          <cell r="D73">
            <v>63847460</v>
          </cell>
        </row>
        <row r="74">
          <cell r="D74">
            <v>20000</v>
          </cell>
          <cell r="J74">
            <v>-480775000</v>
          </cell>
        </row>
        <row r="77">
          <cell r="D77">
            <v>-46706080</v>
          </cell>
        </row>
        <row r="80">
          <cell r="D80">
            <v>-13030875</v>
          </cell>
        </row>
        <row r="83">
          <cell r="D83">
            <v>34323353</v>
          </cell>
        </row>
        <row r="84">
          <cell r="D84">
            <v>1195680000</v>
          </cell>
        </row>
        <row r="87">
          <cell r="D87">
            <v>87000000</v>
          </cell>
        </row>
        <row r="90">
          <cell r="D90">
            <v>2000000</v>
          </cell>
        </row>
        <row r="91">
          <cell r="D91">
            <v>2064833000</v>
          </cell>
        </row>
        <row r="94">
          <cell r="D94">
            <v>4324020</v>
          </cell>
        </row>
        <row r="95">
          <cell r="D95">
            <v>318568070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일반회계"/>
      <sheetName val="기타특별회계"/>
      <sheetName val="추가보완사항-ok"/>
    </sheetNames>
    <sheetDataSet>
      <sheetData sheetId="1">
        <row r="5">
          <cell r="F5">
            <v>150000000</v>
          </cell>
        </row>
        <row r="7">
          <cell r="F7">
            <v>1390000000</v>
          </cell>
          <cell r="H7">
            <v>1390000000</v>
          </cell>
        </row>
        <row r="9">
          <cell r="F9">
            <v>600000000</v>
          </cell>
          <cell r="H9">
            <v>600000000</v>
          </cell>
        </row>
        <row r="11">
          <cell r="F11">
            <v>2300000000</v>
          </cell>
          <cell r="H11">
            <v>2300000000</v>
          </cell>
        </row>
        <row r="15">
          <cell r="F15">
            <v>1184235</v>
          </cell>
          <cell r="H15">
            <v>1184235</v>
          </cell>
        </row>
        <row r="17">
          <cell r="F17">
            <v>507817</v>
          </cell>
          <cell r="H17">
            <v>507817</v>
          </cell>
        </row>
        <row r="21">
          <cell r="F21">
            <v>400000000</v>
          </cell>
          <cell r="H21">
            <v>400000000</v>
          </cell>
        </row>
        <row r="23">
          <cell r="F23">
            <v>1640000000</v>
          </cell>
        </row>
        <row r="29">
          <cell r="F29">
            <v>320</v>
          </cell>
          <cell r="H29">
            <v>320</v>
          </cell>
        </row>
        <row r="34">
          <cell r="F34">
            <v>302910</v>
          </cell>
          <cell r="H34">
            <v>302910</v>
          </cell>
        </row>
        <row r="36">
          <cell r="F36">
            <v>7162970</v>
          </cell>
          <cell r="H36">
            <v>7162970</v>
          </cell>
        </row>
        <row r="38">
          <cell r="F38">
            <v>1439000000</v>
          </cell>
        </row>
        <row r="44">
          <cell r="F44">
            <v>24740</v>
          </cell>
          <cell r="H44">
            <v>24740</v>
          </cell>
        </row>
        <row r="47">
          <cell r="F47">
            <v>13181288</v>
          </cell>
          <cell r="H47">
            <v>13181288</v>
          </cell>
        </row>
        <row r="53">
          <cell r="F53">
            <v>2106120</v>
          </cell>
          <cell r="H53">
            <v>2106120</v>
          </cell>
        </row>
        <row r="56">
          <cell r="F56">
            <v>64116030</v>
          </cell>
          <cell r="H56">
            <v>64116030</v>
          </cell>
        </row>
        <row r="58">
          <cell r="F58">
            <v>15366955</v>
          </cell>
          <cell r="H58">
            <v>15366955</v>
          </cell>
        </row>
        <row r="61">
          <cell r="F61">
            <v>5822820</v>
          </cell>
          <cell r="H61">
            <v>5822820</v>
          </cell>
        </row>
        <row r="67">
          <cell r="F67">
            <v>45355750</v>
          </cell>
          <cell r="H67">
            <v>4110960</v>
          </cell>
        </row>
        <row r="68">
          <cell r="H68">
            <v>41244790</v>
          </cell>
        </row>
        <row r="71">
          <cell r="F71">
            <v>84724480</v>
          </cell>
          <cell r="H71">
            <v>43101610</v>
          </cell>
        </row>
        <row r="72">
          <cell r="F72">
            <v>137263040</v>
          </cell>
          <cell r="H72">
            <v>178885910</v>
          </cell>
        </row>
        <row r="75">
          <cell r="F75">
            <v>284720000</v>
          </cell>
          <cell r="H75">
            <v>24720000</v>
          </cell>
        </row>
        <row r="76">
          <cell r="H76">
            <v>260000000</v>
          </cell>
        </row>
        <row r="80">
          <cell r="F80">
            <v>27583080</v>
          </cell>
          <cell r="H80">
            <v>27583080</v>
          </cell>
        </row>
        <row r="82">
          <cell r="F82">
            <v>31942900</v>
          </cell>
          <cell r="H82">
            <v>31942900</v>
          </cell>
        </row>
        <row r="85">
          <cell r="F85">
            <v>47225000</v>
          </cell>
          <cell r="H85">
            <v>47225000</v>
          </cell>
        </row>
        <row r="87">
          <cell r="F87">
            <v>36775000</v>
          </cell>
          <cell r="H87">
            <v>36775000</v>
          </cell>
        </row>
        <row r="91">
          <cell r="F91">
            <v>150000000</v>
          </cell>
          <cell r="H91">
            <v>150000000</v>
          </cell>
        </row>
        <row r="93">
          <cell r="F93">
            <v>1093972</v>
          </cell>
          <cell r="H93">
            <v>1093972</v>
          </cell>
        </row>
        <row r="98">
          <cell r="F98">
            <v>4850562</v>
          </cell>
          <cell r="H98">
            <v>4850562</v>
          </cell>
        </row>
        <row r="103">
          <cell r="F103">
            <v>16043561</v>
          </cell>
          <cell r="H103">
            <v>16043561</v>
          </cell>
        </row>
        <row r="106">
          <cell r="H106">
            <v>2240000000</v>
          </cell>
        </row>
        <row r="109">
          <cell r="F109">
            <v>1044658</v>
          </cell>
          <cell r="H109">
            <v>1044658</v>
          </cell>
        </row>
        <row r="113">
          <cell r="F113">
            <v>4154521</v>
          </cell>
          <cell r="H113">
            <v>4154521</v>
          </cell>
        </row>
        <row r="176">
          <cell r="E176">
            <v>162680</v>
          </cell>
          <cell r="G176">
            <v>162680</v>
          </cell>
        </row>
        <row r="178">
          <cell r="E178">
            <v>56232350</v>
          </cell>
          <cell r="G178">
            <v>56232350</v>
          </cell>
        </row>
        <row r="180">
          <cell r="E180">
            <v>15366955</v>
          </cell>
          <cell r="G180">
            <v>15366955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재정자금(일반)"/>
      <sheetName val="자금(기타특별)"/>
      <sheetName val="자금(기금)"/>
    </sheetNames>
    <sheetDataSet>
      <sheetData sheetId="1">
        <row r="22">
          <cell r="H22">
            <v>200000000</v>
          </cell>
        </row>
        <row r="23">
          <cell r="H23">
            <v>400000000</v>
          </cell>
        </row>
        <row r="24">
          <cell r="H24">
            <v>200000000</v>
          </cell>
        </row>
        <row r="25">
          <cell r="H25">
            <v>240000000</v>
          </cell>
        </row>
        <row r="26">
          <cell r="H26">
            <v>100000000</v>
          </cell>
        </row>
        <row r="27">
          <cell r="H27">
            <v>300000000</v>
          </cell>
        </row>
        <row r="28">
          <cell r="H28">
            <v>200000000</v>
          </cell>
        </row>
        <row r="29">
          <cell r="H29">
            <v>600000000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감가상각 및 무형자산 상각"/>
    </sheetNames>
    <sheetDataSet>
      <sheetData sheetId="1">
        <row r="38">
          <cell r="J38">
            <v>5728039</v>
          </cell>
        </row>
        <row r="40">
          <cell r="J40">
            <v>228102</v>
          </cell>
        </row>
        <row r="43">
          <cell r="J43">
            <v>495738</v>
          </cell>
        </row>
        <row r="48">
          <cell r="J48">
            <v>338600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최종점검 내역"/>
      <sheetName val="AJE&amp;RJE(4)"/>
      <sheetName val="마지막 점검(AJE&amp;RJE(5))"/>
    </sheetNames>
    <sheetDataSet>
      <sheetData sheetId="2">
        <row r="106">
          <cell r="G106">
            <v>282756705000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주택사업"/>
    </sheetNames>
    <sheetDataSet>
      <sheetData sheetId="0">
        <row r="3">
          <cell r="A3">
            <v>157674822</v>
          </cell>
        </row>
        <row r="7">
          <cell r="A7">
            <v>162680</v>
          </cell>
        </row>
        <row r="9">
          <cell r="A9">
            <v>25262180</v>
          </cell>
        </row>
        <row r="11">
          <cell r="A11">
            <v>22982730</v>
          </cell>
        </row>
        <row r="12">
          <cell r="A12">
            <v>3842466</v>
          </cell>
        </row>
        <row r="14">
          <cell r="A14">
            <v>302910</v>
          </cell>
        </row>
        <row r="17">
          <cell r="E17">
            <v>32605</v>
          </cell>
        </row>
        <row r="19">
          <cell r="E19">
            <v>8179940</v>
          </cell>
        </row>
        <row r="21">
          <cell r="E21">
            <v>356693223</v>
          </cell>
        </row>
        <row r="23">
          <cell r="A23">
            <v>660000</v>
          </cell>
        </row>
        <row r="25">
          <cell r="A25">
            <v>167000</v>
          </cell>
        </row>
        <row r="27">
          <cell r="A27">
            <v>96220</v>
          </cell>
        </row>
        <row r="29">
          <cell r="A29">
            <v>3046800</v>
          </cell>
        </row>
        <row r="31">
          <cell r="A31">
            <v>707960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토지구획정리"/>
    </sheetNames>
    <sheetDataSet>
      <sheetData sheetId="0">
        <row r="3">
          <cell r="E3">
            <v>149022350</v>
          </cell>
        </row>
        <row r="5">
          <cell r="A5">
            <v>1390000000</v>
          </cell>
        </row>
        <row r="7">
          <cell r="A7">
            <v>130490760</v>
          </cell>
        </row>
        <row r="9">
          <cell r="A9">
            <v>10232767</v>
          </cell>
        </row>
        <row r="11">
          <cell r="A11">
            <v>228380830</v>
          </cell>
        </row>
        <row r="15">
          <cell r="E15">
            <v>1610082007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의료급여"/>
    </sheetNames>
    <sheetDataSet>
      <sheetData sheetId="0">
        <row r="3">
          <cell r="E3">
            <v>1529805080</v>
          </cell>
        </row>
        <row r="5">
          <cell r="A5">
            <v>730000</v>
          </cell>
        </row>
        <row r="7">
          <cell r="A7">
            <v>1625000</v>
          </cell>
        </row>
        <row r="9">
          <cell r="E9">
            <v>1624000</v>
          </cell>
        </row>
        <row r="11">
          <cell r="A11">
            <v>320</v>
          </cell>
        </row>
        <row r="14">
          <cell r="E14">
            <v>7058330</v>
          </cell>
        </row>
        <row r="16">
          <cell r="A16">
            <v>35000000</v>
          </cell>
        </row>
        <row r="18">
          <cell r="A18">
            <v>3820000</v>
          </cell>
        </row>
        <row r="20">
          <cell r="A20">
            <v>240000</v>
          </cell>
        </row>
        <row r="22">
          <cell r="A22">
            <v>11000000</v>
          </cell>
        </row>
        <row r="24">
          <cell r="A24">
            <v>210000</v>
          </cell>
        </row>
        <row r="26">
          <cell r="A26">
            <v>89974600</v>
          </cell>
        </row>
        <row r="28">
          <cell r="A28">
            <v>22324490</v>
          </cell>
        </row>
        <row r="30">
          <cell r="A30">
            <v>1373563000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기초생활보장수급권자생활안전보장"/>
    </sheetNames>
    <sheetDataSet>
      <sheetData sheetId="0">
        <row r="3">
          <cell r="A3">
            <v>210168914</v>
          </cell>
        </row>
        <row r="7">
          <cell r="A7">
            <v>89583770</v>
          </cell>
        </row>
        <row r="9">
          <cell r="A9">
            <v>64697490</v>
          </cell>
        </row>
        <row r="10">
          <cell r="A10">
            <v>18553425</v>
          </cell>
        </row>
        <row r="12">
          <cell r="A12">
            <v>400000000</v>
          </cell>
        </row>
        <row r="14">
          <cell r="A14">
            <v>200227980</v>
          </cell>
        </row>
        <row r="19">
          <cell r="E19">
            <v>1085791539</v>
          </cell>
        </row>
        <row r="21">
          <cell r="A21">
            <v>331560</v>
          </cell>
        </row>
        <row r="23">
          <cell r="A23">
            <v>1254000</v>
          </cell>
        </row>
        <row r="25">
          <cell r="A25">
            <v>974400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새마을소득"/>
    </sheetNames>
    <sheetDataSet>
      <sheetData sheetId="0">
        <row r="3">
          <cell r="A3">
            <v>16026415</v>
          </cell>
        </row>
        <row r="5">
          <cell r="A5">
            <v>293720000</v>
          </cell>
        </row>
        <row r="7">
          <cell r="A7">
            <v>15366955</v>
          </cell>
        </row>
        <row r="9">
          <cell r="A9">
            <v>835000000</v>
          </cell>
        </row>
        <row r="14">
          <cell r="E14">
            <v>1160373150</v>
          </cell>
        </row>
        <row r="16">
          <cell r="A16">
            <v>259780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발전소주변지역"/>
    </sheetNames>
    <sheetDataSet>
      <sheetData sheetId="0">
        <row r="3">
          <cell r="E3">
            <v>304865981</v>
          </cell>
        </row>
        <row r="5">
          <cell r="A5">
            <v>36775000</v>
          </cell>
        </row>
        <row r="7">
          <cell r="A7">
            <v>1800625000</v>
          </cell>
        </row>
        <row r="9">
          <cell r="A9">
            <v>148750840</v>
          </cell>
        </row>
        <row r="11">
          <cell r="A11">
            <v>130302520</v>
          </cell>
        </row>
        <row r="13">
          <cell r="A13">
            <v>12163950</v>
          </cell>
        </row>
        <row r="15">
          <cell r="A15">
            <v>187399850</v>
          </cell>
        </row>
        <row r="20">
          <cell r="E20">
            <v>2154803559</v>
          </cell>
        </row>
        <row r="22">
          <cell r="A22">
            <v>730700</v>
          </cell>
        </row>
        <row r="24">
          <cell r="A24">
            <v>1065900</v>
          </cell>
        </row>
        <row r="26">
          <cell r="A26">
            <v>51200750</v>
          </cell>
        </row>
        <row r="27">
          <cell r="A27">
            <v>85905350</v>
          </cell>
        </row>
        <row r="29">
          <cell r="A29">
            <v>4749680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중소기업육성"/>
    </sheetNames>
    <sheetDataSet>
      <sheetData sheetId="0">
        <row r="3">
          <cell r="A3">
            <v>1613869</v>
          </cell>
        </row>
        <row r="5">
          <cell r="A5">
            <v>600000000</v>
          </cell>
        </row>
        <row r="7">
          <cell r="A7">
            <v>3668055</v>
          </cell>
        </row>
        <row r="13">
          <cell r="E13">
            <v>2316946504</v>
          </cell>
        </row>
        <row r="15">
          <cell r="A15">
            <v>1641400</v>
          </cell>
        </row>
        <row r="17">
          <cell r="A17">
            <v>70023180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1"/>
  <sheetViews>
    <sheetView showZeros="0" view="pageBreakPreview" zoomScale="60" zoomScaleNormal="80" workbookViewId="0" topLeftCell="A1">
      <selection activeCell="E97" sqref="E97"/>
    </sheetView>
  </sheetViews>
  <sheetFormatPr defaultColWidth="8.88671875" defaultRowHeight="13.5"/>
  <cols>
    <col min="1" max="2" width="3.5546875" style="116" customWidth="1"/>
    <col min="3" max="3" width="21.88671875" style="116" customWidth="1"/>
    <col min="4" max="4" width="15.99609375" style="129" bestFit="1" customWidth="1"/>
    <col min="5" max="5" width="13.5546875" style="116" customWidth="1"/>
    <col min="6" max="6" width="14.10546875" style="116" customWidth="1"/>
    <col min="7" max="9" width="14.4453125" style="116" customWidth="1"/>
    <col min="10" max="10" width="14.88671875" style="116" customWidth="1"/>
    <col min="11" max="15" width="14.4453125" style="116" customWidth="1"/>
    <col min="16" max="17" width="14.4453125" style="116" hidden="1" customWidth="1"/>
    <col min="18" max="18" width="13.5546875" style="116" hidden="1" customWidth="1"/>
    <col min="19" max="19" width="15.99609375" style="116" customWidth="1"/>
    <col min="20" max="20" width="16.21484375" style="116" customWidth="1"/>
    <col min="21" max="16384" width="8.88671875" style="116" customWidth="1"/>
  </cols>
  <sheetData>
    <row r="1" spans="1:18" s="205" customFormat="1" ht="25.5">
      <c r="A1" s="292" t="s">
        <v>344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17" s="205" customFormat="1" ht="22.5">
      <c r="A2" s="231"/>
      <c r="B2" s="232"/>
      <c r="C2" s="233"/>
      <c r="D2" s="234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8" s="205" customFormat="1" ht="15" customHeight="1">
      <c r="A3" s="293" t="s">
        <v>327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4" spans="1:18" s="23" customFormat="1" ht="12.75" thickBot="1">
      <c r="A4" s="5" t="s">
        <v>345</v>
      </c>
      <c r="D4" s="269" t="s">
        <v>135</v>
      </c>
      <c r="E4" s="269"/>
      <c r="F4" s="269"/>
      <c r="G4" s="269"/>
      <c r="H4" s="269"/>
      <c r="I4" s="269" t="s">
        <v>135</v>
      </c>
      <c r="J4" s="269"/>
      <c r="K4" s="269">
        <f>K25+K30+K40</f>
        <v>0</v>
      </c>
      <c r="L4" s="269" t="s">
        <v>135</v>
      </c>
      <c r="M4" s="269" t="s">
        <v>135</v>
      </c>
      <c r="N4" s="269" t="s">
        <v>135</v>
      </c>
      <c r="O4" s="208" t="s">
        <v>350</v>
      </c>
      <c r="P4" s="270">
        <f>P9+P12+P38</f>
        <v>0</v>
      </c>
      <c r="Q4" s="270">
        <f>Q9+Q12+Q38</f>
        <v>0</v>
      </c>
      <c r="R4" s="270">
        <f>R9+R12+R38</f>
        <v>0</v>
      </c>
    </row>
    <row r="5" spans="1:18" s="206" customFormat="1" ht="41.25" customHeight="1">
      <c r="A5" s="296"/>
      <c r="B5" s="297"/>
      <c r="C5" s="298"/>
      <c r="D5" s="235" t="s">
        <v>346</v>
      </c>
      <c r="E5" s="236" t="s">
        <v>328</v>
      </c>
      <c r="F5" s="268" t="s">
        <v>329</v>
      </c>
      <c r="G5" s="236" t="s">
        <v>330</v>
      </c>
      <c r="H5" s="236" t="s">
        <v>331</v>
      </c>
      <c r="I5" s="236" t="s">
        <v>332</v>
      </c>
      <c r="J5" s="236" t="s">
        <v>333</v>
      </c>
      <c r="K5" s="236" t="s">
        <v>334</v>
      </c>
      <c r="L5" s="237" t="s">
        <v>335</v>
      </c>
      <c r="M5" s="237" t="s">
        <v>336</v>
      </c>
      <c r="N5" s="237" t="s">
        <v>337</v>
      </c>
      <c r="O5" s="238" t="s">
        <v>338</v>
      </c>
      <c r="P5" s="239"/>
      <c r="Q5" s="237"/>
      <c r="R5" s="240"/>
    </row>
    <row r="6" spans="1:18" s="23" customFormat="1" ht="15.75" customHeight="1">
      <c r="A6" s="299" t="s">
        <v>48</v>
      </c>
      <c r="B6" s="300"/>
      <c r="C6" s="301"/>
      <c r="D6" s="69"/>
      <c r="E6" s="7"/>
      <c r="F6" s="7"/>
      <c r="G6" s="7"/>
      <c r="H6" s="7"/>
      <c r="I6" s="7"/>
      <c r="J6" s="7"/>
      <c r="K6" s="7"/>
      <c r="L6" s="144"/>
      <c r="M6" s="144"/>
      <c r="N6" s="144"/>
      <c r="O6" s="24"/>
      <c r="P6" s="175"/>
      <c r="Q6" s="144"/>
      <c r="R6" s="24"/>
    </row>
    <row r="7" spans="1:20" s="5" customFormat="1" ht="15.75" customHeight="1">
      <c r="A7" s="272" t="s">
        <v>49</v>
      </c>
      <c r="B7" s="281"/>
      <c r="C7" s="282"/>
      <c r="D7" s="19">
        <f>D8+D11+D13+D21+D24+D26+D29</f>
        <v>10140276672</v>
      </c>
      <c r="E7" s="19">
        <f>E8+E11+E13+E21+E24+E26+E29</f>
        <v>392712610</v>
      </c>
      <c r="F7" s="19">
        <f>F8+F11+F13+F21+F24+F26+F29</f>
        <v>1409880010</v>
      </c>
      <c r="G7" s="19">
        <f>G8+G11+G13+G21+G24+G26+G29</f>
        <v>193680</v>
      </c>
      <c r="H7" s="19">
        <f aca="true" t="shared" si="0" ref="H7:R7">H8+H11+H13+H21+H24+H26+H29</f>
        <v>961825120</v>
      </c>
      <c r="I7" s="19">
        <f t="shared" si="0"/>
        <v>549582495</v>
      </c>
      <c r="J7" s="19">
        <f t="shared" si="0"/>
        <v>1030666972</v>
      </c>
      <c r="K7" s="19">
        <f t="shared" si="0"/>
        <v>1133838326</v>
      </c>
      <c r="L7" s="19">
        <f>L8+L11+L13+L21+L24+L26+L29</f>
        <v>2271786906</v>
      </c>
      <c r="M7" s="19">
        <f>M8+M11+M13+M21+M24+M26+M29</f>
        <v>1032329290</v>
      </c>
      <c r="N7" s="19">
        <f t="shared" si="0"/>
        <v>972991990</v>
      </c>
      <c r="O7" s="28">
        <f t="shared" si="0"/>
        <v>384469273</v>
      </c>
      <c r="P7" s="176">
        <f t="shared" si="0"/>
        <v>0</v>
      </c>
      <c r="Q7" s="19">
        <f t="shared" si="0"/>
        <v>0</v>
      </c>
      <c r="R7" s="19">
        <f t="shared" si="0"/>
        <v>0</v>
      </c>
      <c r="S7" s="117">
        <f aca="true" t="shared" si="1" ref="S7:S32">D7-SUM(E7:R7)</f>
        <v>0</v>
      </c>
      <c r="T7" s="117">
        <f aca="true" t="shared" si="2" ref="T7:T42">D7-SUM(E7:R7)</f>
        <v>0</v>
      </c>
    </row>
    <row r="8" spans="1:20" s="5" customFormat="1" ht="15.75" customHeight="1">
      <c r="A8" s="118"/>
      <c r="B8" s="277" t="s">
        <v>32</v>
      </c>
      <c r="C8" s="278"/>
      <c r="D8" s="19">
        <f>D9+D10</f>
        <v>8172253358</v>
      </c>
      <c r="E8" s="19">
        <f aca="true" t="shared" si="3" ref="E8:R8">E9+E10</f>
        <v>191536102</v>
      </c>
      <c r="F8" s="19">
        <f t="shared" si="3"/>
        <v>1287258500</v>
      </c>
      <c r="G8" s="19">
        <f t="shared" si="3"/>
        <v>193680</v>
      </c>
      <c r="H8" s="19">
        <f t="shared" si="3"/>
        <v>795440034</v>
      </c>
      <c r="I8" s="19">
        <f t="shared" si="3"/>
        <v>280582495</v>
      </c>
      <c r="J8" s="19">
        <f t="shared" si="3"/>
        <v>946666972</v>
      </c>
      <c r="K8" s="19">
        <f t="shared" si="3"/>
        <v>91214929</v>
      </c>
      <c r="L8" s="19">
        <f t="shared" si="3"/>
        <v>2239844006</v>
      </c>
      <c r="M8" s="19">
        <f t="shared" si="3"/>
        <v>1032329290</v>
      </c>
      <c r="N8" s="19">
        <f t="shared" si="3"/>
        <v>972991990</v>
      </c>
      <c r="O8" s="28">
        <f t="shared" si="3"/>
        <v>334195360</v>
      </c>
      <c r="P8" s="176">
        <f t="shared" si="3"/>
        <v>0</v>
      </c>
      <c r="Q8" s="19">
        <f t="shared" si="3"/>
        <v>0</v>
      </c>
      <c r="R8" s="19">
        <f t="shared" si="3"/>
        <v>0</v>
      </c>
      <c r="S8" s="117">
        <f t="shared" si="1"/>
        <v>0</v>
      </c>
      <c r="T8" s="117">
        <f t="shared" si="2"/>
        <v>0</v>
      </c>
    </row>
    <row r="9" spans="1:20" s="23" customFormat="1" ht="15.75" customHeight="1">
      <c r="A9" s="119"/>
      <c r="B9" s="10"/>
      <c r="C9" s="15" t="s">
        <v>52</v>
      </c>
      <c r="D9" s="14">
        <f>SUM(E9:R9)</f>
        <v>8172253358</v>
      </c>
      <c r="E9" s="71">
        <f>'[3]주택사업'!$A$3+'[14]기특'!$H$24+'[15]기타특별회계'!$F$5-'[15]기타특별회계'!$H$91</f>
        <v>191536102</v>
      </c>
      <c r="F9" s="11">
        <f>-'[4]토지구획정리'!$E$3+'[14]기특'!$H$26-29954500+300670+'[15]기타특별회계'!$F$7</f>
        <v>1287258500</v>
      </c>
      <c r="G9" s="11">
        <f>-'[5]의료급여'!$E$3+'[14]기특'!$H$18-7057330+5080+2020320+320</f>
        <v>193680</v>
      </c>
      <c r="H9" s="71">
        <f>'[6]기초생활보장수급권자생활안전보장'!$A$3+'[14]기특'!$H$28+100000000+'[15]기타특별회계'!$F$21</f>
        <v>795440034</v>
      </c>
      <c r="I9" s="71">
        <f>'[7]새마을소득'!$A$3+'[14]기특'!$H$30</f>
        <v>280582495</v>
      </c>
      <c r="J9" s="11">
        <f>-'[8]발전소주변지역'!$E$3+'[14]기특'!$H$32-422470400</f>
        <v>946666972</v>
      </c>
      <c r="K9" s="71">
        <f>'[9]중소기업육성'!$A$3+'[14]기특'!$J$34+'[15]기타특별회계'!$F$9+'[15]기타특별회계'!$F$23-1835449+4436509-'[15]기타특별회계'!$H$106</f>
        <v>91214929</v>
      </c>
      <c r="L9" s="147">
        <f>-'[10]농공단지'!$E$3+'[14]기특'!$H$20+'[15]기타특별회계'!$F$11-293</f>
        <v>2239844006</v>
      </c>
      <c r="M9" s="147">
        <f>-'[11]수질개선'!$E$3+'[14]기특'!$J$36+21540070+2000000+4123520-38493000-72600000-190010920</f>
        <v>1032329290</v>
      </c>
      <c r="N9" s="146">
        <f>'[12]장기미집행'!$A$3+'[14]기특'!$H$22-25798560+9686780</f>
        <v>972991990</v>
      </c>
      <c r="O9" s="75">
        <f>'[13]기반시설'!$A$3+'[14]기특'!$J$38-29181420+47072020</f>
        <v>334195360</v>
      </c>
      <c r="P9" s="177"/>
      <c r="Q9" s="146"/>
      <c r="R9" s="75"/>
      <c r="S9" s="117">
        <f t="shared" si="1"/>
        <v>0</v>
      </c>
      <c r="T9" s="117">
        <f t="shared" si="2"/>
        <v>0</v>
      </c>
    </row>
    <row r="10" spans="1:20" s="23" customFormat="1" ht="15.75" customHeight="1" hidden="1">
      <c r="A10" s="119"/>
      <c r="B10" s="10"/>
      <c r="C10" s="15" t="s">
        <v>135</v>
      </c>
      <c r="D10" s="14">
        <f>SUM(E10:R10)</f>
        <v>0</v>
      </c>
      <c r="E10" s="71"/>
      <c r="F10" s="71"/>
      <c r="G10" s="71"/>
      <c r="H10" s="71"/>
      <c r="I10" s="71"/>
      <c r="J10" s="71"/>
      <c r="K10" s="11"/>
      <c r="L10" s="147"/>
      <c r="M10" s="147"/>
      <c r="N10" s="147"/>
      <c r="O10" s="26"/>
      <c r="P10" s="178"/>
      <c r="Q10" s="147"/>
      <c r="R10" s="26"/>
      <c r="S10" s="117">
        <f t="shared" si="1"/>
        <v>0</v>
      </c>
      <c r="T10" s="117">
        <f t="shared" si="2"/>
        <v>0</v>
      </c>
    </row>
    <row r="11" spans="1:20" s="5" customFormat="1" ht="15.75" customHeight="1">
      <c r="A11" s="118"/>
      <c r="B11" s="277" t="s">
        <v>50</v>
      </c>
      <c r="C11" s="278"/>
      <c r="D11" s="19">
        <f aca="true" t="shared" si="4" ref="D11:R11">D12</f>
        <v>1190000000</v>
      </c>
      <c r="E11" s="19">
        <f t="shared" si="4"/>
        <v>150000000</v>
      </c>
      <c r="F11" s="19">
        <f t="shared" si="4"/>
        <v>0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1040000000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28">
        <f t="shared" si="4"/>
        <v>0</v>
      </c>
      <c r="P11" s="176">
        <f t="shared" si="4"/>
        <v>0</v>
      </c>
      <c r="Q11" s="19">
        <f t="shared" si="4"/>
        <v>0</v>
      </c>
      <c r="R11" s="19">
        <f t="shared" si="4"/>
        <v>0</v>
      </c>
      <c r="S11" s="117">
        <f t="shared" si="1"/>
        <v>0</v>
      </c>
      <c r="T11" s="117">
        <f t="shared" si="2"/>
        <v>0</v>
      </c>
    </row>
    <row r="12" spans="1:20" s="23" customFormat="1" ht="15.75" customHeight="1">
      <c r="A12" s="119"/>
      <c r="B12" s="12"/>
      <c r="C12" s="13" t="s">
        <v>50</v>
      </c>
      <c r="D12" s="14">
        <f>SUM(E12:R12)</f>
        <v>1190000000</v>
      </c>
      <c r="E12" s="14">
        <f>'[15]기타특별회계'!$F$91</f>
        <v>150000000</v>
      </c>
      <c r="F12" s="72">
        <f>'[4]토지구획정리'!$A$5-'[15]기타특별회계'!$H$7</f>
        <v>0</v>
      </c>
      <c r="G12" s="14"/>
      <c r="H12" s="14"/>
      <c r="I12" s="14"/>
      <c r="J12" s="14"/>
      <c r="K12" s="72">
        <f>'[9]중소기업육성'!$A$5-'[15]기타특별회계'!$H$9+'[16]자금(기타특별)'!$H$22+'[16]자금(기타특별)'!$H$23+'[16]자금(기타특별)'!$H$24+'[16]자금(기타특별)'!$H$25</f>
        <v>1040000000</v>
      </c>
      <c r="L12" s="148">
        <f>'[10]농공단지'!$A$5-'[15]기타특별회계'!$H$11</f>
        <v>0</v>
      </c>
      <c r="M12" s="148"/>
      <c r="N12" s="148"/>
      <c r="O12" s="195"/>
      <c r="P12" s="179"/>
      <c r="Q12" s="148"/>
      <c r="R12" s="75"/>
      <c r="S12" s="117">
        <f t="shared" si="1"/>
        <v>0</v>
      </c>
      <c r="T12" s="117">
        <f t="shared" si="2"/>
        <v>0</v>
      </c>
    </row>
    <row r="13" spans="1:20" s="5" customFormat="1" ht="15.75" customHeight="1">
      <c r="A13" s="118"/>
      <c r="B13" s="277" t="s">
        <v>60</v>
      </c>
      <c r="C13" s="278"/>
      <c r="D13" s="19">
        <f>SUM(D14:D20)</f>
        <v>169205270</v>
      </c>
      <c r="E13" s="19">
        <f aca="true" t="shared" si="5" ref="E13:R13">SUM(E14:E20)</f>
        <v>0</v>
      </c>
      <c r="F13" s="19">
        <f t="shared" si="5"/>
        <v>118423540</v>
      </c>
      <c r="G13" s="19">
        <f t="shared" si="5"/>
        <v>0</v>
      </c>
      <c r="H13" s="19">
        <f t="shared" si="5"/>
        <v>0</v>
      </c>
      <c r="I13" s="19">
        <f t="shared" si="5"/>
        <v>0</v>
      </c>
      <c r="J13" s="19">
        <f t="shared" si="5"/>
        <v>0</v>
      </c>
      <c r="K13" s="19">
        <f t="shared" si="5"/>
        <v>0</v>
      </c>
      <c r="L13" s="19">
        <f>SUM(L14:L20)</f>
        <v>0</v>
      </c>
      <c r="M13" s="19">
        <f t="shared" si="5"/>
        <v>0</v>
      </c>
      <c r="N13" s="19">
        <f t="shared" si="5"/>
        <v>0</v>
      </c>
      <c r="O13" s="28">
        <f t="shared" si="5"/>
        <v>50781730</v>
      </c>
      <c r="P13" s="176">
        <f t="shared" si="5"/>
        <v>0</v>
      </c>
      <c r="Q13" s="19">
        <f t="shared" si="5"/>
        <v>0</v>
      </c>
      <c r="R13" s="19">
        <f t="shared" si="5"/>
        <v>0</v>
      </c>
      <c r="S13" s="117">
        <f t="shared" si="1"/>
        <v>0</v>
      </c>
      <c r="T13" s="117">
        <f t="shared" si="2"/>
        <v>0</v>
      </c>
    </row>
    <row r="14" spans="1:20" s="23" customFormat="1" ht="15.75" customHeight="1" hidden="1">
      <c r="A14" s="119"/>
      <c r="B14" s="12"/>
      <c r="C14" s="13" t="s">
        <v>293</v>
      </c>
      <c r="D14" s="14">
        <f aca="true" t="shared" si="6" ref="D14:D20">SUM(E14:R14)</f>
        <v>0</v>
      </c>
      <c r="E14" s="14"/>
      <c r="F14" s="14"/>
      <c r="G14" s="14"/>
      <c r="H14" s="14"/>
      <c r="I14" s="14"/>
      <c r="J14" s="14"/>
      <c r="K14" s="14"/>
      <c r="L14" s="142"/>
      <c r="M14" s="142"/>
      <c r="N14" s="142"/>
      <c r="O14" s="196"/>
      <c r="P14" s="180"/>
      <c r="Q14" s="142"/>
      <c r="R14" s="26"/>
      <c r="S14" s="117">
        <f t="shared" si="1"/>
        <v>0</v>
      </c>
      <c r="T14" s="117">
        <f t="shared" si="2"/>
        <v>0</v>
      </c>
    </row>
    <row r="15" spans="1:20" s="23" customFormat="1" ht="15.75" customHeight="1" hidden="1">
      <c r="A15" s="119"/>
      <c r="B15" s="12"/>
      <c r="C15" s="13" t="s">
        <v>136</v>
      </c>
      <c r="D15" s="14">
        <f t="shared" si="6"/>
        <v>0</v>
      </c>
      <c r="E15" s="14"/>
      <c r="F15" s="14"/>
      <c r="G15" s="14"/>
      <c r="H15" s="14"/>
      <c r="I15" s="14"/>
      <c r="J15" s="14"/>
      <c r="K15" s="14"/>
      <c r="L15" s="142"/>
      <c r="M15" s="142"/>
      <c r="N15" s="142"/>
      <c r="O15" s="196"/>
      <c r="P15" s="180"/>
      <c r="Q15" s="142"/>
      <c r="R15" s="26"/>
      <c r="S15" s="117">
        <f t="shared" si="1"/>
        <v>0</v>
      </c>
      <c r="T15" s="117">
        <f t="shared" si="2"/>
        <v>0</v>
      </c>
    </row>
    <row r="16" spans="1:20" s="23" customFormat="1" ht="15.75" customHeight="1">
      <c r="A16" s="119"/>
      <c r="B16" s="12"/>
      <c r="C16" s="13" t="s">
        <v>147</v>
      </c>
      <c r="D16" s="14">
        <f t="shared" si="6"/>
        <v>118423540</v>
      </c>
      <c r="E16" s="14"/>
      <c r="F16" s="14">
        <f>'[4]토지구획정리'!$A$7+'[14]기특'!$D$22</f>
        <v>118423540</v>
      </c>
      <c r="G16" s="14"/>
      <c r="H16" s="14"/>
      <c r="I16" s="14"/>
      <c r="J16" s="14"/>
      <c r="K16" s="14"/>
      <c r="L16" s="142"/>
      <c r="M16" s="142"/>
      <c r="N16" s="142"/>
      <c r="O16" s="196"/>
      <c r="P16" s="180"/>
      <c r="Q16" s="142"/>
      <c r="R16" s="26"/>
      <c r="S16" s="117">
        <f t="shared" si="1"/>
        <v>0</v>
      </c>
      <c r="T16" s="117">
        <f t="shared" si="2"/>
        <v>0</v>
      </c>
    </row>
    <row r="17" spans="1:20" s="23" customFormat="1" ht="15.75" customHeight="1">
      <c r="A17" s="119"/>
      <c r="B17" s="12"/>
      <c r="C17" s="13" t="s">
        <v>0</v>
      </c>
      <c r="D17" s="14">
        <f t="shared" si="6"/>
        <v>50781730</v>
      </c>
      <c r="E17" s="14"/>
      <c r="F17" s="14"/>
      <c r="G17" s="14"/>
      <c r="H17" s="14"/>
      <c r="I17" s="14"/>
      <c r="J17" s="14"/>
      <c r="K17" s="14"/>
      <c r="L17" s="142"/>
      <c r="M17" s="142"/>
      <c r="N17" s="142"/>
      <c r="O17" s="196">
        <f>'[13]기반시설'!$A$5+'[14]기특'!$D$43-47072020</f>
        <v>50781730</v>
      </c>
      <c r="P17" s="180"/>
      <c r="Q17" s="142"/>
      <c r="R17" s="26"/>
      <c r="S17" s="117">
        <f t="shared" si="1"/>
        <v>0</v>
      </c>
      <c r="T17" s="117">
        <f t="shared" si="2"/>
        <v>0</v>
      </c>
    </row>
    <row r="18" spans="1:20" s="23" customFormat="1" ht="15.75" customHeight="1" hidden="1">
      <c r="A18" s="119"/>
      <c r="B18" s="12"/>
      <c r="C18" s="13" t="s">
        <v>278</v>
      </c>
      <c r="D18" s="14">
        <f t="shared" si="6"/>
        <v>0</v>
      </c>
      <c r="E18" s="14"/>
      <c r="F18" s="14"/>
      <c r="G18" s="14"/>
      <c r="H18" s="14"/>
      <c r="I18" s="14"/>
      <c r="J18" s="14"/>
      <c r="K18" s="14"/>
      <c r="L18" s="142"/>
      <c r="M18" s="142"/>
      <c r="N18" s="142"/>
      <c r="O18" s="196"/>
      <c r="P18" s="180"/>
      <c r="Q18" s="142"/>
      <c r="R18" s="26"/>
      <c r="S18" s="117"/>
      <c r="T18" s="117"/>
    </row>
    <row r="19" spans="1:20" s="23" customFormat="1" ht="15.75" customHeight="1" hidden="1">
      <c r="A19" s="119"/>
      <c r="B19" s="12"/>
      <c r="C19" s="13" t="s">
        <v>142</v>
      </c>
      <c r="D19" s="14">
        <f t="shared" si="6"/>
        <v>0</v>
      </c>
      <c r="E19" s="14"/>
      <c r="F19" s="14"/>
      <c r="G19" s="14"/>
      <c r="H19" s="14"/>
      <c r="I19" s="14"/>
      <c r="J19" s="14"/>
      <c r="K19" s="14"/>
      <c r="L19" s="142"/>
      <c r="M19" s="142"/>
      <c r="N19" s="142"/>
      <c r="O19" s="196"/>
      <c r="P19" s="180"/>
      <c r="Q19" s="142"/>
      <c r="R19" s="26"/>
      <c r="S19" s="117">
        <f t="shared" si="1"/>
        <v>0</v>
      </c>
      <c r="T19" s="117">
        <f t="shared" si="2"/>
        <v>0</v>
      </c>
    </row>
    <row r="20" spans="1:20" s="23" customFormat="1" ht="15.75" customHeight="1" hidden="1">
      <c r="A20" s="119"/>
      <c r="B20" s="12"/>
      <c r="C20" s="13" t="s">
        <v>141</v>
      </c>
      <c r="D20" s="14">
        <f t="shared" si="6"/>
        <v>0</v>
      </c>
      <c r="E20" s="14">
        <f>'[3]주택사업'!$A$7+'[14]기특'!$D$17</f>
        <v>0</v>
      </c>
      <c r="F20" s="14"/>
      <c r="G20" s="14"/>
      <c r="H20" s="14"/>
      <c r="I20" s="14"/>
      <c r="J20" s="14"/>
      <c r="K20" s="14"/>
      <c r="L20" s="142"/>
      <c r="M20" s="142"/>
      <c r="N20" s="142"/>
      <c r="O20" s="196"/>
      <c r="P20" s="180"/>
      <c r="Q20" s="142"/>
      <c r="R20" s="26"/>
      <c r="S20" s="117">
        <f t="shared" si="1"/>
        <v>0</v>
      </c>
      <c r="T20" s="117">
        <f t="shared" si="2"/>
        <v>0</v>
      </c>
    </row>
    <row r="21" spans="1:20" s="5" customFormat="1" ht="15.75" customHeight="1">
      <c r="A21" s="118"/>
      <c r="B21" s="277" t="s">
        <v>159</v>
      </c>
      <c r="C21" s="278"/>
      <c r="D21" s="19">
        <f>D22+D23</f>
        <v>-1692052</v>
      </c>
      <c r="E21" s="19">
        <f aca="true" t="shared" si="7" ref="E21:R21">E22+E23</f>
        <v>0</v>
      </c>
      <c r="F21" s="19">
        <f t="shared" si="7"/>
        <v>-1184235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19">
        <f t="shared" si="7"/>
        <v>0</v>
      </c>
      <c r="K21" s="19">
        <f t="shared" si="7"/>
        <v>0</v>
      </c>
      <c r="L21" s="19">
        <f>L22+L23</f>
        <v>0</v>
      </c>
      <c r="M21" s="19">
        <f t="shared" si="7"/>
        <v>0</v>
      </c>
      <c r="N21" s="19">
        <f t="shared" si="7"/>
        <v>0</v>
      </c>
      <c r="O21" s="28">
        <f t="shared" si="7"/>
        <v>-507817</v>
      </c>
      <c r="P21" s="176">
        <f t="shared" si="7"/>
        <v>0</v>
      </c>
      <c r="Q21" s="19">
        <f t="shared" si="7"/>
        <v>0</v>
      </c>
      <c r="R21" s="19">
        <f t="shared" si="7"/>
        <v>0</v>
      </c>
      <c r="S21" s="117">
        <f t="shared" si="1"/>
        <v>0</v>
      </c>
      <c r="T21" s="117">
        <f t="shared" si="2"/>
        <v>0</v>
      </c>
    </row>
    <row r="22" spans="1:20" s="23" customFormat="1" ht="15.75" customHeight="1">
      <c r="A22" s="119"/>
      <c r="B22" s="12"/>
      <c r="C22" s="13" t="s">
        <v>359</v>
      </c>
      <c r="D22" s="14">
        <f>SUM(E22:R22)</f>
        <v>-1184235</v>
      </c>
      <c r="E22" s="14"/>
      <c r="F22" s="14">
        <f>-'[15]기타특별회계'!$H$15</f>
        <v>-1184235</v>
      </c>
      <c r="G22" s="14"/>
      <c r="H22" s="14"/>
      <c r="I22" s="14"/>
      <c r="J22" s="14"/>
      <c r="K22" s="14"/>
      <c r="L22" s="142"/>
      <c r="M22" s="142"/>
      <c r="N22" s="142"/>
      <c r="O22" s="196"/>
      <c r="P22" s="180"/>
      <c r="Q22" s="142"/>
      <c r="R22" s="26"/>
      <c r="S22" s="117">
        <f t="shared" si="1"/>
        <v>0</v>
      </c>
      <c r="T22" s="117">
        <f t="shared" si="2"/>
        <v>0</v>
      </c>
    </row>
    <row r="23" spans="1:20" s="23" customFormat="1" ht="15.75" customHeight="1">
      <c r="A23" s="119"/>
      <c r="B23" s="12"/>
      <c r="C23" s="13" t="s">
        <v>360</v>
      </c>
      <c r="D23" s="14">
        <f>SUM(E23:R23)</f>
        <v>-507817</v>
      </c>
      <c r="E23" s="14"/>
      <c r="F23" s="14"/>
      <c r="G23" s="14"/>
      <c r="H23" s="14"/>
      <c r="I23" s="14"/>
      <c r="J23" s="14"/>
      <c r="K23" s="14"/>
      <c r="L23" s="142"/>
      <c r="M23" s="142"/>
      <c r="N23" s="142"/>
      <c r="O23" s="196">
        <f>-'[15]기타특별회계'!$H$17</f>
        <v>-507817</v>
      </c>
      <c r="P23" s="180"/>
      <c r="Q23" s="142"/>
      <c r="R23" s="26"/>
      <c r="S23" s="117">
        <f t="shared" si="1"/>
        <v>0</v>
      </c>
      <c r="T23" s="117">
        <f t="shared" si="2"/>
        <v>0</v>
      </c>
    </row>
    <row r="24" spans="1:20" s="5" customFormat="1" ht="15.75" customHeight="1">
      <c r="A24" s="118"/>
      <c r="B24" s="277" t="s">
        <v>70</v>
      </c>
      <c r="C24" s="278"/>
      <c r="D24" s="19">
        <f aca="true" t="shared" si="8" ref="D24:R24">D25</f>
        <v>420633380</v>
      </c>
      <c r="E24" s="19">
        <f t="shared" si="8"/>
        <v>21151220</v>
      </c>
      <c r="F24" s="19">
        <f t="shared" si="8"/>
        <v>0</v>
      </c>
      <c r="G24" s="19">
        <f>G25</f>
        <v>0</v>
      </c>
      <c r="H24" s="19">
        <f t="shared" si="8"/>
        <v>46482160</v>
      </c>
      <c r="I24" s="19">
        <f t="shared" si="8"/>
        <v>269000000</v>
      </c>
      <c r="J24" s="19">
        <f t="shared" si="8"/>
        <v>84000000</v>
      </c>
      <c r="K24" s="19">
        <f t="shared" si="8"/>
        <v>0</v>
      </c>
      <c r="L24" s="19">
        <f t="shared" si="8"/>
        <v>0</v>
      </c>
      <c r="M24" s="19">
        <f t="shared" si="8"/>
        <v>0</v>
      </c>
      <c r="N24" s="19">
        <f t="shared" si="8"/>
        <v>0</v>
      </c>
      <c r="O24" s="28">
        <f t="shared" si="8"/>
        <v>0</v>
      </c>
      <c r="P24" s="176">
        <f t="shared" si="8"/>
        <v>0</v>
      </c>
      <c r="Q24" s="19">
        <f t="shared" si="8"/>
        <v>0</v>
      </c>
      <c r="R24" s="19">
        <f t="shared" si="8"/>
        <v>0</v>
      </c>
      <c r="S24" s="117">
        <f t="shared" si="1"/>
        <v>0</v>
      </c>
      <c r="T24" s="117">
        <f t="shared" si="2"/>
        <v>0</v>
      </c>
    </row>
    <row r="25" spans="1:20" s="23" customFormat="1" ht="15.75" customHeight="1">
      <c r="A25" s="119"/>
      <c r="B25" s="10"/>
      <c r="C25" s="15" t="s">
        <v>59</v>
      </c>
      <c r="D25" s="14">
        <f>SUM(E25:R25)</f>
        <v>420633380</v>
      </c>
      <c r="E25" s="34">
        <f>'[3]주택사업'!$A$9-'[15]기타특별회계'!$H$67</f>
        <v>21151220</v>
      </c>
      <c r="F25" s="55"/>
      <c r="G25" s="55"/>
      <c r="H25" s="55">
        <f>'[6]기초생활보장수급권자생활안전보장'!$A$7-'[15]기타특별회계'!$H$71</f>
        <v>46482160</v>
      </c>
      <c r="I25" s="55">
        <f>'[7]새마을소득'!$A$5-'[15]기타특별회계'!$H$75</f>
        <v>269000000</v>
      </c>
      <c r="J25" s="55">
        <f>'[8]발전소주변지역'!$A$5+'[15]기타특별회계'!$F$85</f>
        <v>84000000</v>
      </c>
      <c r="K25" s="55"/>
      <c r="L25" s="149">
        <f>'[10]농공단지'!$A$7-'[15]기타특별회계'!$H$80</f>
        <v>0</v>
      </c>
      <c r="M25" s="149"/>
      <c r="N25" s="149"/>
      <c r="O25" s="56"/>
      <c r="P25" s="181"/>
      <c r="Q25" s="149"/>
      <c r="R25" s="26"/>
      <c r="S25" s="117">
        <f t="shared" si="1"/>
        <v>0</v>
      </c>
      <c r="T25" s="117">
        <f t="shared" si="2"/>
        <v>0</v>
      </c>
    </row>
    <row r="26" spans="1:20" s="5" customFormat="1" ht="15.75" customHeight="1" hidden="1">
      <c r="A26" s="118"/>
      <c r="B26" s="277" t="s">
        <v>137</v>
      </c>
      <c r="C26" s="278"/>
      <c r="D26" s="19">
        <f>D27+D28</f>
        <v>0</v>
      </c>
      <c r="E26" s="19">
        <f aca="true" t="shared" si="9" ref="E26:O26">E27+E28</f>
        <v>0</v>
      </c>
      <c r="F26" s="19">
        <f t="shared" si="9"/>
        <v>0</v>
      </c>
      <c r="G26" s="19">
        <f t="shared" si="9"/>
        <v>0</v>
      </c>
      <c r="H26" s="19">
        <f t="shared" si="9"/>
        <v>0</v>
      </c>
      <c r="I26" s="19">
        <f t="shared" si="9"/>
        <v>0</v>
      </c>
      <c r="J26" s="19">
        <f t="shared" si="9"/>
        <v>0</v>
      </c>
      <c r="K26" s="19">
        <f t="shared" si="9"/>
        <v>0</v>
      </c>
      <c r="L26" s="19">
        <f t="shared" si="9"/>
        <v>0</v>
      </c>
      <c r="M26" s="19">
        <f t="shared" si="9"/>
        <v>0</v>
      </c>
      <c r="N26" s="19">
        <f t="shared" si="9"/>
        <v>0</v>
      </c>
      <c r="O26" s="28">
        <f t="shared" si="9"/>
        <v>0</v>
      </c>
      <c r="P26" s="176">
        <f>P27+P28</f>
        <v>0</v>
      </c>
      <c r="Q26" s="19">
        <f>Q27+Q28</f>
        <v>0</v>
      </c>
      <c r="R26" s="19">
        <f>R27+R28</f>
        <v>0</v>
      </c>
      <c r="S26" s="117">
        <f t="shared" si="1"/>
        <v>0</v>
      </c>
      <c r="T26" s="117">
        <f t="shared" si="2"/>
        <v>0</v>
      </c>
    </row>
    <row r="27" spans="1:20" s="23" customFormat="1" ht="15" customHeight="1" hidden="1">
      <c r="A27" s="119"/>
      <c r="B27" s="10"/>
      <c r="C27" s="15" t="s">
        <v>323</v>
      </c>
      <c r="D27" s="14">
        <f aca="true" t="shared" si="10" ref="D27:D34">SUM(E27:R27)</f>
        <v>0</v>
      </c>
      <c r="E27" s="34"/>
      <c r="F27" s="55"/>
      <c r="G27" s="55"/>
      <c r="H27" s="55"/>
      <c r="I27" s="55"/>
      <c r="J27" s="55"/>
      <c r="K27" s="55"/>
      <c r="L27" s="149"/>
      <c r="M27" s="149"/>
      <c r="N27" s="149"/>
      <c r="O27" s="56"/>
      <c r="P27" s="181"/>
      <c r="Q27" s="149"/>
      <c r="R27" s="26"/>
      <c r="S27" s="117">
        <f t="shared" si="1"/>
        <v>0</v>
      </c>
      <c r="T27" s="117">
        <f t="shared" si="2"/>
        <v>0</v>
      </c>
    </row>
    <row r="28" spans="1:20" s="23" customFormat="1" ht="15" customHeight="1" hidden="1">
      <c r="A28" s="119"/>
      <c r="B28" s="10"/>
      <c r="C28" s="15" t="s">
        <v>325</v>
      </c>
      <c r="D28" s="14">
        <f t="shared" si="10"/>
        <v>0</v>
      </c>
      <c r="E28" s="34"/>
      <c r="F28" s="55"/>
      <c r="G28" s="55"/>
      <c r="H28" s="55"/>
      <c r="I28" s="55"/>
      <c r="J28" s="55"/>
      <c r="K28" s="55"/>
      <c r="L28" s="149"/>
      <c r="M28" s="149"/>
      <c r="N28" s="149"/>
      <c r="O28" s="56"/>
      <c r="P28" s="181"/>
      <c r="Q28" s="149"/>
      <c r="R28" s="147"/>
      <c r="S28" s="117"/>
      <c r="T28" s="117"/>
    </row>
    <row r="29" spans="1:20" s="5" customFormat="1" ht="17.25" customHeight="1">
      <c r="A29" s="118"/>
      <c r="B29" s="277" t="s">
        <v>158</v>
      </c>
      <c r="C29" s="278"/>
      <c r="D29" s="19">
        <f aca="true" t="shared" si="11" ref="D29:I29">SUM(D30:D34)</f>
        <v>189876716</v>
      </c>
      <c r="E29" s="19">
        <f t="shared" si="11"/>
        <v>30025288</v>
      </c>
      <c r="F29" s="19">
        <f t="shared" si="11"/>
        <v>5382205</v>
      </c>
      <c r="G29" s="19">
        <f t="shared" si="11"/>
        <v>0</v>
      </c>
      <c r="H29" s="19">
        <f t="shared" si="11"/>
        <v>119902926</v>
      </c>
      <c r="I29" s="19">
        <f t="shared" si="11"/>
        <v>0</v>
      </c>
      <c r="J29" s="19">
        <f aca="true" t="shared" si="12" ref="J29:R29">SUM(J30:J34)</f>
        <v>0</v>
      </c>
      <c r="K29" s="19">
        <f t="shared" si="12"/>
        <v>2623397</v>
      </c>
      <c r="L29" s="19">
        <f t="shared" si="12"/>
        <v>31942900</v>
      </c>
      <c r="M29" s="19">
        <f t="shared" si="12"/>
        <v>0</v>
      </c>
      <c r="N29" s="19">
        <f t="shared" si="12"/>
        <v>0</v>
      </c>
      <c r="O29" s="28">
        <f t="shared" si="12"/>
        <v>0</v>
      </c>
      <c r="P29" s="176">
        <f t="shared" si="12"/>
        <v>0</v>
      </c>
      <c r="Q29" s="19">
        <f t="shared" si="12"/>
        <v>0</v>
      </c>
      <c r="R29" s="19">
        <f t="shared" si="12"/>
        <v>0</v>
      </c>
      <c r="S29" s="117">
        <f t="shared" si="1"/>
        <v>0</v>
      </c>
      <c r="T29" s="117">
        <f t="shared" si="2"/>
        <v>0</v>
      </c>
    </row>
    <row r="30" spans="1:20" s="23" customFormat="1" ht="16.5" customHeight="1">
      <c r="A30" s="119"/>
      <c r="B30" s="9"/>
      <c r="C30" s="13" t="s">
        <v>64</v>
      </c>
      <c r="D30" s="14">
        <f t="shared" si="10"/>
        <v>142337690</v>
      </c>
      <c r="E30" s="11">
        <f>'[3]주택사업'!$A$11+'[15]기타특별회계'!$F$53</f>
        <v>25088850</v>
      </c>
      <c r="F30" s="8"/>
      <c r="G30" s="11"/>
      <c r="H30" s="11">
        <f>'[6]기초생활보장수급권자생활안전보장'!$A$9-'[15]기타특별회계'!$H$56+'[15]기타특별회계'!$F$71</f>
        <v>85305940</v>
      </c>
      <c r="I30" s="11">
        <f>'[7]새마을소득'!$A$7-'[15]기타특별회계'!$H$58</f>
        <v>0</v>
      </c>
      <c r="J30" s="11"/>
      <c r="K30" s="11"/>
      <c r="L30" s="147">
        <f>'[10]농공단지'!$A$9-'[15]기타특별회계'!$H$61+'[15]기타특별회계'!$F$82</f>
        <v>31942900</v>
      </c>
      <c r="M30" s="147"/>
      <c r="N30" s="147"/>
      <c r="O30" s="26"/>
      <c r="P30" s="178"/>
      <c r="Q30" s="147"/>
      <c r="R30" s="25"/>
      <c r="S30" s="117">
        <f t="shared" si="1"/>
        <v>0</v>
      </c>
      <c r="T30" s="117">
        <f t="shared" si="2"/>
        <v>0</v>
      </c>
    </row>
    <row r="31" spans="1:20" s="23" customFormat="1" ht="16.5" customHeight="1">
      <c r="A31" s="119"/>
      <c r="B31" s="10"/>
      <c r="C31" s="15" t="s">
        <v>67</v>
      </c>
      <c r="D31" s="14">
        <f t="shared" si="10"/>
        <v>47539026</v>
      </c>
      <c r="E31" s="14">
        <f>'[3]주택사업'!$A$12+'[14]기특'!$D$16-'[15]기타특별회계'!$H$53+'[15]기타특별회계'!$F$93</f>
        <v>4936438</v>
      </c>
      <c r="F31" s="72">
        <f>'[4]토지구획정리'!$A$9-'[15]기타특별회계'!$H$98</f>
        <v>5382205</v>
      </c>
      <c r="G31" s="14"/>
      <c r="H31" s="14">
        <f>'[6]기초생활보장수급권자생활안전보장'!$A$10+'[14]기특'!$D$25+'[15]기타특별회계'!$F$56+'[15]기타특별회계'!$F$103</f>
        <v>34596986</v>
      </c>
      <c r="I31" s="14">
        <f>'[14]기특'!$D$28+'[15]기타특별회계'!$F$58</f>
        <v>0</v>
      </c>
      <c r="J31" s="14"/>
      <c r="K31" s="72">
        <f>'[9]중소기업육성'!$A$7-'[15]기타특별회계'!$H$109</f>
        <v>2623397</v>
      </c>
      <c r="L31" s="142">
        <f>'[10]농공단지'!$A$10+'[14]기특'!$D$11+'[15]기타특별회계'!$F$61-'[15]기타특별회계'!$H$113</f>
        <v>0</v>
      </c>
      <c r="M31" s="148"/>
      <c r="N31" s="148"/>
      <c r="O31" s="195"/>
      <c r="P31" s="179"/>
      <c r="Q31" s="148"/>
      <c r="R31" s="75"/>
      <c r="S31" s="117">
        <f t="shared" si="1"/>
        <v>0</v>
      </c>
      <c r="T31" s="117">
        <f t="shared" si="2"/>
        <v>0</v>
      </c>
    </row>
    <row r="32" spans="1:20" s="23" customFormat="1" ht="15.75" customHeight="1" hidden="1">
      <c r="A32" s="119"/>
      <c r="B32" s="10"/>
      <c r="C32" s="15" t="s">
        <v>69</v>
      </c>
      <c r="D32" s="14">
        <f t="shared" si="10"/>
        <v>0</v>
      </c>
      <c r="E32" s="14"/>
      <c r="F32" s="72"/>
      <c r="G32" s="72"/>
      <c r="H32" s="72"/>
      <c r="I32" s="72"/>
      <c r="J32" s="72"/>
      <c r="K32" s="14"/>
      <c r="L32" s="142"/>
      <c r="M32" s="142"/>
      <c r="N32" s="142"/>
      <c r="O32" s="196"/>
      <c r="P32" s="180"/>
      <c r="Q32" s="142"/>
      <c r="R32" s="26"/>
      <c r="S32" s="117">
        <f t="shared" si="1"/>
        <v>0</v>
      </c>
      <c r="T32" s="117">
        <f t="shared" si="2"/>
        <v>0</v>
      </c>
    </row>
    <row r="33" spans="1:20" s="23" customFormat="1" ht="15.75" customHeight="1" hidden="1">
      <c r="A33" s="119"/>
      <c r="B33" s="10"/>
      <c r="C33" s="15" t="s">
        <v>219</v>
      </c>
      <c r="D33" s="14">
        <f t="shared" si="10"/>
        <v>0</v>
      </c>
      <c r="E33" s="14"/>
      <c r="F33" s="72"/>
      <c r="G33" s="72"/>
      <c r="H33" s="72"/>
      <c r="I33" s="72"/>
      <c r="J33" s="72"/>
      <c r="K33" s="14"/>
      <c r="L33" s="142"/>
      <c r="M33" s="142"/>
      <c r="N33" s="142"/>
      <c r="O33" s="196"/>
      <c r="P33" s="180"/>
      <c r="Q33" s="142"/>
      <c r="R33" s="26"/>
      <c r="S33" s="117"/>
      <c r="T33" s="117">
        <f t="shared" si="2"/>
        <v>0</v>
      </c>
    </row>
    <row r="34" spans="1:20" s="23" customFormat="1" ht="15" customHeight="1" hidden="1">
      <c r="A34" s="119"/>
      <c r="B34" s="10"/>
      <c r="C34" s="15" t="s">
        <v>68</v>
      </c>
      <c r="D34" s="14">
        <f t="shared" si="10"/>
        <v>0</v>
      </c>
      <c r="E34" s="57"/>
      <c r="F34" s="73"/>
      <c r="G34" s="57"/>
      <c r="H34" s="57"/>
      <c r="I34" s="57"/>
      <c r="J34" s="57"/>
      <c r="K34" s="57"/>
      <c r="L34" s="150"/>
      <c r="M34" s="150"/>
      <c r="N34" s="150"/>
      <c r="O34" s="197"/>
      <c r="P34" s="182"/>
      <c r="Q34" s="150"/>
      <c r="R34" s="26"/>
      <c r="S34" s="117">
        <f aca="true" t="shared" si="13" ref="S34:S72">D34-SUM(E34:R34)</f>
        <v>0</v>
      </c>
      <c r="T34" s="117">
        <f t="shared" si="2"/>
        <v>0</v>
      </c>
    </row>
    <row r="35" spans="1:20" s="23" customFormat="1" ht="15.75" customHeight="1">
      <c r="A35" s="119"/>
      <c r="B35" s="10"/>
      <c r="C35" s="15"/>
      <c r="D35" s="14">
        <f>SUM(E35:K35)</f>
        <v>0</v>
      </c>
      <c r="E35" s="11"/>
      <c r="F35" s="11"/>
      <c r="G35" s="11"/>
      <c r="H35" s="11"/>
      <c r="I35" s="11"/>
      <c r="J35" s="11"/>
      <c r="K35" s="11"/>
      <c r="L35" s="147"/>
      <c r="M35" s="147"/>
      <c r="N35" s="147"/>
      <c r="O35" s="26"/>
      <c r="P35" s="178"/>
      <c r="Q35" s="147"/>
      <c r="R35" s="26"/>
      <c r="S35" s="117">
        <f t="shared" si="13"/>
        <v>0</v>
      </c>
      <c r="T35" s="117">
        <f t="shared" si="2"/>
        <v>0</v>
      </c>
    </row>
    <row r="36" spans="1:20" s="5" customFormat="1" ht="15.75" customHeight="1">
      <c r="A36" s="276" t="s">
        <v>160</v>
      </c>
      <c r="B36" s="277"/>
      <c r="C36" s="278"/>
      <c r="D36" s="19">
        <f>D39+D41+D37</f>
        <v>3358418470</v>
      </c>
      <c r="E36" s="19">
        <f aca="true" t="shared" si="14" ref="E36:R36">E39+E41+E37</f>
        <v>15875970</v>
      </c>
      <c r="F36" s="19">
        <f>F39+F41+F37</f>
        <v>0</v>
      </c>
      <c r="G36" s="19">
        <f>G39+G41+G37</f>
        <v>0</v>
      </c>
      <c r="H36" s="19">
        <f>H39+H41+H37</f>
        <v>3131500</v>
      </c>
      <c r="I36" s="19">
        <f t="shared" si="14"/>
        <v>597500000</v>
      </c>
      <c r="J36" s="19">
        <f t="shared" si="14"/>
        <v>1309400000</v>
      </c>
      <c r="K36" s="19">
        <f t="shared" si="14"/>
        <v>1200000000</v>
      </c>
      <c r="L36" s="19">
        <f t="shared" si="14"/>
        <v>232511000</v>
      </c>
      <c r="M36" s="19">
        <f t="shared" si="14"/>
        <v>0</v>
      </c>
      <c r="N36" s="19">
        <f t="shared" si="14"/>
        <v>0</v>
      </c>
      <c r="O36" s="28">
        <f t="shared" si="14"/>
        <v>0</v>
      </c>
      <c r="P36" s="176">
        <f t="shared" si="14"/>
        <v>0</v>
      </c>
      <c r="Q36" s="19">
        <f t="shared" si="14"/>
        <v>0</v>
      </c>
      <c r="R36" s="19">
        <f t="shared" si="14"/>
        <v>0</v>
      </c>
      <c r="S36" s="117">
        <f t="shared" si="13"/>
        <v>0</v>
      </c>
      <c r="T36" s="117">
        <f t="shared" si="2"/>
        <v>0</v>
      </c>
    </row>
    <row r="37" spans="1:20" s="5" customFormat="1" ht="15.75" customHeight="1">
      <c r="A37" s="27"/>
      <c r="B37" s="277" t="s">
        <v>291</v>
      </c>
      <c r="C37" s="278"/>
      <c r="D37" s="19">
        <f>D38</f>
        <v>1200000000</v>
      </c>
      <c r="E37" s="19">
        <f aca="true" t="shared" si="15" ref="E37:R37">E38</f>
        <v>0</v>
      </c>
      <c r="F37" s="19">
        <f t="shared" si="15"/>
        <v>0</v>
      </c>
      <c r="G37" s="19">
        <f t="shared" si="15"/>
        <v>0</v>
      </c>
      <c r="H37" s="19">
        <f t="shared" si="15"/>
        <v>0</v>
      </c>
      <c r="I37" s="19">
        <f t="shared" si="15"/>
        <v>0</v>
      </c>
      <c r="J37" s="19">
        <f t="shared" si="15"/>
        <v>0</v>
      </c>
      <c r="K37" s="19">
        <f>K38</f>
        <v>1200000000</v>
      </c>
      <c r="L37" s="19">
        <f t="shared" si="15"/>
        <v>0</v>
      </c>
      <c r="M37" s="19">
        <f t="shared" si="15"/>
        <v>0</v>
      </c>
      <c r="N37" s="19">
        <f t="shared" si="15"/>
        <v>0</v>
      </c>
      <c r="O37" s="28">
        <f t="shared" si="15"/>
        <v>0</v>
      </c>
      <c r="P37" s="176">
        <f t="shared" si="15"/>
        <v>0</v>
      </c>
      <c r="Q37" s="19">
        <f t="shared" si="15"/>
        <v>0</v>
      </c>
      <c r="R37" s="19">
        <f t="shared" si="15"/>
        <v>0</v>
      </c>
      <c r="S37" s="117"/>
      <c r="T37" s="117"/>
    </row>
    <row r="38" spans="1:20" s="23" customFormat="1" ht="15.75" customHeight="1">
      <c r="A38" s="76"/>
      <c r="B38" s="12"/>
      <c r="C38" s="13" t="s">
        <v>292</v>
      </c>
      <c r="D38" s="14">
        <f>SUM(E38:R38)</f>
        <v>1200000000</v>
      </c>
      <c r="E38" s="14"/>
      <c r="F38" s="14"/>
      <c r="G38" s="14"/>
      <c r="H38" s="14">
        <f>'[6]기초생활보장수급권자생활안전보장'!$A$12-'[15]기타특별회계'!$H$21</f>
        <v>0</v>
      </c>
      <c r="I38" s="14"/>
      <c r="J38" s="14"/>
      <c r="K38" s="55">
        <f>'[16]자금(기타특별)'!$H$26+'[16]자금(기타특별)'!$H$27+'[16]자금(기타특별)'!$H$28+'[16]자금(기타특별)'!$H$29</f>
        <v>1200000000</v>
      </c>
      <c r="L38" s="14"/>
      <c r="M38" s="14"/>
      <c r="N38" s="14"/>
      <c r="O38" s="196"/>
      <c r="P38" s="183"/>
      <c r="Q38" s="14"/>
      <c r="R38" s="14"/>
      <c r="S38" s="141"/>
      <c r="T38" s="141"/>
    </row>
    <row r="39" spans="1:20" s="5" customFormat="1" ht="15.75" customHeight="1">
      <c r="A39" s="118"/>
      <c r="B39" s="277" t="s">
        <v>161</v>
      </c>
      <c r="C39" s="278"/>
      <c r="D39" s="19">
        <f aca="true" t="shared" si="16" ref="D39:R39">D40</f>
        <v>1925907470</v>
      </c>
      <c r="E39" s="19">
        <f t="shared" si="16"/>
        <v>15875970</v>
      </c>
      <c r="F39" s="19">
        <f t="shared" si="16"/>
        <v>0</v>
      </c>
      <c r="G39" s="19">
        <f t="shared" si="16"/>
        <v>0</v>
      </c>
      <c r="H39" s="19">
        <f t="shared" si="16"/>
        <v>3131500</v>
      </c>
      <c r="I39" s="19">
        <f t="shared" si="16"/>
        <v>597500000</v>
      </c>
      <c r="J39" s="19">
        <f t="shared" si="16"/>
        <v>1309400000</v>
      </c>
      <c r="K39" s="19">
        <v>0</v>
      </c>
      <c r="L39" s="19">
        <f t="shared" si="16"/>
        <v>0</v>
      </c>
      <c r="M39" s="19">
        <f t="shared" si="16"/>
        <v>0</v>
      </c>
      <c r="N39" s="19">
        <f t="shared" si="16"/>
        <v>0</v>
      </c>
      <c r="O39" s="28">
        <f t="shared" si="16"/>
        <v>0</v>
      </c>
      <c r="P39" s="176">
        <f t="shared" si="16"/>
        <v>0</v>
      </c>
      <c r="Q39" s="19">
        <f t="shared" si="16"/>
        <v>0</v>
      </c>
      <c r="R39" s="19">
        <f t="shared" si="16"/>
        <v>0</v>
      </c>
      <c r="S39" s="117">
        <f t="shared" si="13"/>
        <v>0</v>
      </c>
      <c r="T39" s="117">
        <f t="shared" si="2"/>
        <v>0</v>
      </c>
    </row>
    <row r="40" spans="1:20" s="23" customFormat="1" ht="15.75" customHeight="1">
      <c r="A40" s="119"/>
      <c r="B40" s="12"/>
      <c r="C40" s="13" t="s">
        <v>62</v>
      </c>
      <c r="D40" s="14">
        <f>SUM(E40:R40)</f>
        <v>1925907470</v>
      </c>
      <c r="E40" s="55">
        <f>'[14]기특'!$J$68+'[15]기타특별회계'!$F$67</f>
        <v>15875970</v>
      </c>
      <c r="F40" s="55"/>
      <c r="G40" s="55"/>
      <c r="H40" s="55">
        <f>'[6]기초생활보장수급권자생활안전보장'!$A$14+'[14]기특'!$J$70-'[15]기타특별회계'!$H$72</f>
        <v>3131500</v>
      </c>
      <c r="I40" s="55">
        <f>'[7]새마을소득'!$A$9+'[14]기특'!$J$72+'[15]기타특별회계'!$F$75</f>
        <v>597500000</v>
      </c>
      <c r="J40" s="55">
        <f>'[8]발전소주변지역'!$A$7+'[14]기특'!$J$74-'[15]기타특별회계'!$H$85+'[15]기타특별회계'!$F$87</f>
        <v>1309400000</v>
      </c>
      <c r="L40" s="149">
        <f>'[14]기특'!$J$66+'[15]기타특별회계'!$F$80</f>
        <v>0</v>
      </c>
      <c r="M40" s="149"/>
      <c r="N40" s="149"/>
      <c r="O40" s="56"/>
      <c r="P40" s="181"/>
      <c r="Q40" s="149"/>
      <c r="R40" s="26"/>
      <c r="S40" s="117">
        <f t="shared" si="13"/>
        <v>0</v>
      </c>
      <c r="T40" s="117">
        <f t="shared" si="2"/>
        <v>0</v>
      </c>
    </row>
    <row r="41" spans="1:20" s="5" customFormat="1" ht="15.75" customHeight="1">
      <c r="A41" s="118"/>
      <c r="B41" s="277" t="s">
        <v>157</v>
      </c>
      <c r="C41" s="278"/>
      <c r="D41" s="19">
        <f>D42</f>
        <v>232511000</v>
      </c>
      <c r="E41" s="19">
        <f aca="true" t="shared" si="17" ref="E41:R41">E42</f>
        <v>0</v>
      </c>
      <c r="F41" s="19">
        <f t="shared" si="17"/>
        <v>0</v>
      </c>
      <c r="G41" s="19">
        <f t="shared" si="17"/>
        <v>0</v>
      </c>
      <c r="H41" s="19">
        <f t="shared" si="17"/>
        <v>0</v>
      </c>
      <c r="I41" s="19">
        <f t="shared" si="17"/>
        <v>0</v>
      </c>
      <c r="J41" s="19">
        <f t="shared" si="17"/>
        <v>0</v>
      </c>
      <c r="K41" s="19">
        <f t="shared" si="17"/>
        <v>0</v>
      </c>
      <c r="L41" s="19">
        <f t="shared" si="17"/>
        <v>232511000</v>
      </c>
      <c r="M41" s="19">
        <f t="shared" si="17"/>
        <v>0</v>
      </c>
      <c r="N41" s="19">
        <f t="shared" si="17"/>
        <v>0</v>
      </c>
      <c r="O41" s="28">
        <f t="shared" si="17"/>
        <v>0</v>
      </c>
      <c r="P41" s="176">
        <f t="shared" si="17"/>
        <v>0</v>
      </c>
      <c r="Q41" s="19">
        <f t="shared" si="17"/>
        <v>0</v>
      </c>
      <c r="R41" s="19">
        <f t="shared" si="17"/>
        <v>0</v>
      </c>
      <c r="S41" s="117">
        <f t="shared" si="13"/>
        <v>0</v>
      </c>
      <c r="T41" s="117">
        <f t="shared" si="2"/>
        <v>0</v>
      </c>
    </row>
    <row r="42" spans="1:20" s="23" customFormat="1" ht="15.75" customHeight="1">
      <c r="A42" s="119"/>
      <c r="B42" s="12"/>
      <c r="C42" s="13" t="s">
        <v>152</v>
      </c>
      <c r="D42" s="14">
        <f>SUM(E42:R42)</f>
        <v>232511000</v>
      </c>
      <c r="E42" s="11"/>
      <c r="F42" s="11"/>
      <c r="G42" s="11"/>
      <c r="H42" s="11"/>
      <c r="I42" s="11"/>
      <c r="J42" s="11"/>
      <c r="K42" s="11"/>
      <c r="L42" s="142">
        <f>'[10]농공단지'!$A$12</f>
        <v>232511000</v>
      </c>
      <c r="M42" s="147"/>
      <c r="N42" s="147"/>
      <c r="O42" s="26"/>
      <c r="P42" s="178"/>
      <c r="Q42" s="147"/>
      <c r="R42" s="56"/>
      <c r="S42" s="117">
        <f t="shared" si="13"/>
        <v>0</v>
      </c>
      <c r="T42" s="117">
        <f t="shared" si="2"/>
        <v>0</v>
      </c>
    </row>
    <row r="43" spans="1:20" s="23" customFormat="1" ht="15.75" customHeight="1">
      <c r="A43" s="119"/>
      <c r="B43" s="12"/>
      <c r="C43" s="13"/>
      <c r="D43" s="14">
        <f>SUM(E43:K43)</f>
        <v>0</v>
      </c>
      <c r="E43" s="11"/>
      <c r="F43" s="11"/>
      <c r="G43" s="11"/>
      <c r="H43" s="11"/>
      <c r="I43" s="11"/>
      <c r="J43" s="11"/>
      <c r="K43" s="11"/>
      <c r="L43" s="147"/>
      <c r="M43" s="147"/>
      <c r="N43" s="147"/>
      <c r="O43" s="26"/>
      <c r="P43" s="178"/>
      <c r="Q43" s="147"/>
      <c r="R43" s="26"/>
      <c r="S43" s="117">
        <f t="shared" si="13"/>
        <v>0</v>
      </c>
      <c r="T43" s="117">
        <f aca="true" t="shared" si="18" ref="T43:T72">D43-SUM(E43:R43)</f>
        <v>0</v>
      </c>
    </row>
    <row r="44" spans="1:20" s="5" customFormat="1" ht="15.75" customHeight="1">
      <c r="A44" s="276" t="s">
        <v>33</v>
      </c>
      <c r="B44" s="277"/>
      <c r="C44" s="278"/>
      <c r="D44" s="19">
        <f>D45+D47+D49+D51+D53+D55+D57+D59+D61+D63+D65+D69+D67</f>
        <v>15478834</v>
      </c>
      <c r="E44" s="19">
        <f aca="true" t="shared" si="19" ref="E44:R44">E45+E47+E49+E51+E53+E55+E57+E59+E61+E63+E65+E69+E67</f>
        <v>0</v>
      </c>
      <c r="F44" s="19">
        <f t="shared" si="19"/>
        <v>0</v>
      </c>
      <c r="G44" s="19">
        <f t="shared" si="19"/>
        <v>391400</v>
      </c>
      <c r="H44" s="19">
        <f t="shared" si="19"/>
        <v>0</v>
      </c>
      <c r="I44" s="19">
        <f t="shared" si="19"/>
        <v>0</v>
      </c>
      <c r="J44" s="19">
        <f t="shared" si="19"/>
        <v>0</v>
      </c>
      <c r="K44" s="19">
        <f t="shared" si="19"/>
        <v>0</v>
      </c>
      <c r="L44" s="19">
        <f t="shared" si="19"/>
        <v>1657998</v>
      </c>
      <c r="M44" s="19">
        <f t="shared" si="19"/>
        <v>13429436</v>
      </c>
      <c r="N44" s="19">
        <f t="shared" si="19"/>
        <v>0</v>
      </c>
      <c r="O44" s="28">
        <f t="shared" si="19"/>
        <v>0</v>
      </c>
      <c r="P44" s="176">
        <f t="shared" si="19"/>
        <v>0</v>
      </c>
      <c r="Q44" s="19">
        <f t="shared" si="19"/>
        <v>0</v>
      </c>
      <c r="R44" s="19">
        <f t="shared" si="19"/>
        <v>0</v>
      </c>
      <c r="S44" s="117">
        <f t="shared" si="13"/>
        <v>0</v>
      </c>
      <c r="T44" s="117">
        <f t="shared" si="18"/>
        <v>0</v>
      </c>
    </row>
    <row r="45" spans="1:20" s="5" customFormat="1" ht="15.75" customHeight="1" hidden="1">
      <c r="A45" s="118"/>
      <c r="B45" s="277" t="s">
        <v>162</v>
      </c>
      <c r="C45" s="278"/>
      <c r="D45" s="19">
        <f>D46</f>
        <v>0</v>
      </c>
      <c r="E45" s="19">
        <f aca="true" t="shared" si="20" ref="E45:R45">E46</f>
        <v>0</v>
      </c>
      <c r="F45" s="19">
        <f t="shared" si="20"/>
        <v>0</v>
      </c>
      <c r="G45" s="19">
        <f t="shared" si="20"/>
        <v>0</v>
      </c>
      <c r="H45" s="19">
        <f t="shared" si="20"/>
        <v>0</v>
      </c>
      <c r="I45" s="19">
        <f t="shared" si="20"/>
        <v>0</v>
      </c>
      <c r="J45" s="19">
        <f t="shared" si="20"/>
        <v>0</v>
      </c>
      <c r="K45" s="19">
        <f t="shared" si="20"/>
        <v>0</v>
      </c>
      <c r="L45" s="19">
        <f t="shared" si="20"/>
        <v>0</v>
      </c>
      <c r="M45" s="19">
        <f t="shared" si="20"/>
        <v>0</v>
      </c>
      <c r="N45" s="19">
        <f t="shared" si="20"/>
        <v>0</v>
      </c>
      <c r="O45" s="28">
        <f t="shared" si="20"/>
        <v>0</v>
      </c>
      <c r="P45" s="176">
        <f t="shared" si="20"/>
        <v>0</v>
      </c>
      <c r="Q45" s="19">
        <f t="shared" si="20"/>
        <v>0</v>
      </c>
      <c r="R45" s="19">
        <f t="shared" si="20"/>
        <v>0</v>
      </c>
      <c r="S45" s="117">
        <f t="shared" si="13"/>
        <v>0</v>
      </c>
      <c r="T45" s="117">
        <f t="shared" si="18"/>
        <v>0</v>
      </c>
    </row>
    <row r="46" spans="1:20" s="23" customFormat="1" ht="15.75" customHeight="1" hidden="1">
      <c r="A46" s="119"/>
      <c r="B46" s="12"/>
      <c r="C46" s="15" t="s">
        <v>34</v>
      </c>
      <c r="D46" s="14">
        <f>SUM(E46:R46)</f>
        <v>0</v>
      </c>
      <c r="E46" s="14"/>
      <c r="F46" s="14"/>
      <c r="G46" s="14"/>
      <c r="H46" s="14"/>
      <c r="I46" s="14"/>
      <c r="J46" s="14"/>
      <c r="K46" s="14"/>
      <c r="L46" s="142"/>
      <c r="M46" s="142"/>
      <c r="N46" s="142"/>
      <c r="O46" s="196"/>
      <c r="P46" s="180"/>
      <c r="Q46" s="142"/>
      <c r="R46" s="56">
        <v>0</v>
      </c>
      <c r="S46" s="117">
        <f t="shared" si="13"/>
        <v>0</v>
      </c>
      <c r="T46" s="117">
        <f t="shared" si="18"/>
        <v>0</v>
      </c>
    </row>
    <row r="47" spans="1:20" s="5" customFormat="1" ht="15.75" customHeight="1" hidden="1">
      <c r="A47" s="118"/>
      <c r="B47" s="277" t="s">
        <v>35</v>
      </c>
      <c r="C47" s="278"/>
      <c r="D47" s="19">
        <f>D48</f>
        <v>0</v>
      </c>
      <c r="E47" s="19">
        <f aca="true" t="shared" si="21" ref="E47:R47">E48</f>
        <v>0</v>
      </c>
      <c r="F47" s="19">
        <f t="shared" si="21"/>
        <v>0</v>
      </c>
      <c r="G47" s="19">
        <f t="shared" si="21"/>
        <v>0</v>
      </c>
      <c r="H47" s="19">
        <f t="shared" si="21"/>
        <v>0</v>
      </c>
      <c r="I47" s="19">
        <f t="shared" si="21"/>
        <v>0</v>
      </c>
      <c r="J47" s="19">
        <f t="shared" si="21"/>
        <v>0</v>
      </c>
      <c r="K47" s="19">
        <f t="shared" si="21"/>
        <v>0</v>
      </c>
      <c r="L47" s="19">
        <f t="shared" si="21"/>
        <v>0</v>
      </c>
      <c r="M47" s="19">
        <f t="shared" si="21"/>
        <v>0</v>
      </c>
      <c r="N47" s="19">
        <f t="shared" si="21"/>
        <v>0</v>
      </c>
      <c r="O47" s="28">
        <f t="shared" si="21"/>
        <v>0</v>
      </c>
      <c r="P47" s="176">
        <f t="shared" si="21"/>
        <v>0</v>
      </c>
      <c r="Q47" s="19">
        <f t="shared" si="21"/>
        <v>0</v>
      </c>
      <c r="R47" s="19">
        <f t="shared" si="21"/>
        <v>0</v>
      </c>
      <c r="S47" s="117">
        <f t="shared" si="13"/>
        <v>0</v>
      </c>
      <c r="T47" s="117">
        <f t="shared" si="18"/>
        <v>0</v>
      </c>
    </row>
    <row r="48" spans="1:20" s="23" customFormat="1" ht="15.75" customHeight="1" hidden="1">
      <c r="A48" s="119"/>
      <c r="B48" s="12"/>
      <c r="C48" s="15" t="s">
        <v>35</v>
      </c>
      <c r="D48" s="14">
        <f>SUM(E48:R48)</f>
        <v>0</v>
      </c>
      <c r="E48" s="11"/>
      <c r="F48" s="11"/>
      <c r="G48" s="11"/>
      <c r="H48" s="11"/>
      <c r="I48" s="11"/>
      <c r="J48" s="11"/>
      <c r="K48" s="11"/>
      <c r="L48" s="147"/>
      <c r="M48" s="147"/>
      <c r="N48" s="147"/>
      <c r="O48" s="26"/>
      <c r="P48" s="178"/>
      <c r="Q48" s="147"/>
      <c r="R48" s="56">
        <v>0</v>
      </c>
      <c r="S48" s="117">
        <f t="shared" si="13"/>
        <v>0</v>
      </c>
      <c r="T48" s="117">
        <f t="shared" si="18"/>
        <v>0</v>
      </c>
    </row>
    <row r="49" spans="1:20" s="5" customFormat="1" ht="15.75" customHeight="1" hidden="1">
      <c r="A49" s="118"/>
      <c r="B49" s="294" t="s">
        <v>153</v>
      </c>
      <c r="C49" s="295"/>
      <c r="D49" s="19">
        <f>D50</f>
        <v>0</v>
      </c>
      <c r="E49" s="19">
        <f aca="true" t="shared" si="22" ref="E49:R49">E50</f>
        <v>0</v>
      </c>
      <c r="F49" s="19">
        <f t="shared" si="22"/>
        <v>0</v>
      </c>
      <c r="G49" s="19">
        <f t="shared" si="22"/>
        <v>0</v>
      </c>
      <c r="H49" s="19">
        <f t="shared" si="22"/>
        <v>0</v>
      </c>
      <c r="I49" s="19">
        <f t="shared" si="22"/>
        <v>0</v>
      </c>
      <c r="J49" s="19">
        <f t="shared" si="22"/>
        <v>0</v>
      </c>
      <c r="K49" s="19">
        <f t="shared" si="22"/>
        <v>0</v>
      </c>
      <c r="L49" s="19">
        <f t="shared" si="22"/>
        <v>0</v>
      </c>
      <c r="M49" s="19">
        <f t="shared" si="22"/>
        <v>0</v>
      </c>
      <c r="N49" s="19">
        <f t="shared" si="22"/>
        <v>0</v>
      </c>
      <c r="O49" s="28">
        <f t="shared" si="22"/>
        <v>0</v>
      </c>
      <c r="P49" s="176">
        <f t="shared" si="22"/>
        <v>0</v>
      </c>
      <c r="Q49" s="19">
        <f t="shared" si="22"/>
        <v>0</v>
      </c>
      <c r="R49" s="19">
        <f t="shared" si="22"/>
        <v>0</v>
      </c>
      <c r="S49" s="117">
        <f t="shared" si="13"/>
        <v>0</v>
      </c>
      <c r="T49" s="117">
        <f t="shared" si="18"/>
        <v>0</v>
      </c>
    </row>
    <row r="50" spans="1:20" s="23" customFormat="1" ht="15.75" customHeight="1" hidden="1">
      <c r="A50" s="119"/>
      <c r="B50" s="12"/>
      <c r="C50" s="16" t="s">
        <v>153</v>
      </c>
      <c r="D50" s="14">
        <f>SUM(E50:R50)</f>
        <v>0</v>
      </c>
      <c r="E50" s="11"/>
      <c r="F50" s="11"/>
      <c r="G50" s="11"/>
      <c r="H50" s="11"/>
      <c r="I50" s="11"/>
      <c r="J50" s="11"/>
      <c r="K50" s="11"/>
      <c r="L50" s="147"/>
      <c r="M50" s="147"/>
      <c r="N50" s="147"/>
      <c r="O50" s="26"/>
      <c r="P50" s="178"/>
      <c r="Q50" s="147"/>
      <c r="R50" s="56"/>
      <c r="S50" s="117">
        <f t="shared" si="13"/>
        <v>0</v>
      </c>
      <c r="T50" s="117">
        <f t="shared" si="18"/>
        <v>0</v>
      </c>
    </row>
    <row r="51" spans="1:20" s="5" customFormat="1" ht="15.75" customHeight="1" hidden="1">
      <c r="A51" s="118"/>
      <c r="B51" s="277" t="s">
        <v>166</v>
      </c>
      <c r="C51" s="278"/>
      <c r="D51" s="19">
        <f>D52</f>
        <v>0</v>
      </c>
      <c r="E51" s="19">
        <f aca="true" t="shared" si="23" ref="E51:R51">E52</f>
        <v>0</v>
      </c>
      <c r="F51" s="19">
        <f t="shared" si="23"/>
        <v>0</v>
      </c>
      <c r="G51" s="19">
        <f t="shared" si="23"/>
        <v>0</v>
      </c>
      <c r="H51" s="19">
        <f t="shared" si="23"/>
        <v>0</v>
      </c>
      <c r="I51" s="19">
        <f t="shared" si="23"/>
        <v>0</v>
      </c>
      <c r="J51" s="19">
        <f t="shared" si="23"/>
        <v>0</v>
      </c>
      <c r="K51" s="19">
        <f t="shared" si="23"/>
        <v>0</v>
      </c>
      <c r="L51" s="19">
        <f t="shared" si="23"/>
        <v>0</v>
      </c>
      <c r="M51" s="19">
        <f t="shared" si="23"/>
        <v>0</v>
      </c>
      <c r="N51" s="19">
        <f t="shared" si="23"/>
        <v>0</v>
      </c>
      <c r="O51" s="28">
        <f t="shared" si="23"/>
        <v>0</v>
      </c>
      <c r="P51" s="176">
        <f t="shared" si="23"/>
        <v>0</v>
      </c>
      <c r="Q51" s="19">
        <f t="shared" si="23"/>
        <v>0</v>
      </c>
      <c r="R51" s="19">
        <f t="shared" si="23"/>
        <v>0</v>
      </c>
      <c r="S51" s="117">
        <f t="shared" si="13"/>
        <v>0</v>
      </c>
      <c r="T51" s="117">
        <f t="shared" si="18"/>
        <v>0</v>
      </c>
    </row>
    <row r="52" spans="1:20" s="23" customFormat="1" ht="15.75" customHeight="1" hidden="1">
      <c r="A52" s="119"/>
      <c r="B52" s="120"/>
      <c r="C52" s="16" t="s">
        <v>154</v>
      </c>
      <c r="D52" s="14">
        <f>SUM(E52:R52)</f>
        <v>0</v>
      </c>
      <c r="E52" s="11"/>
      <c r="F52" s="11"/>
      <c r="G52" s="11"/>
      <c r="H52" s="11"/>
      <c r="I52" s="11"/>
      <c r="J52" s="11"/>
      <c r="K52" s="11"/>
      <c r="L52" s="147"/>
      <c r="M52" s="147"/>
      <c r="N52" s="147"/>
      <c r="O52" s="26"/>
      <c r="P52" s="178"/>
      <c r="Q52" s="147"/>
      <c r="R52" s="56"/>
      <c r="S52" s="117">
        <f t="shared" si="13"/>
        <v>0</v>
      </c>
      <c r="T52" s="117">
        <f t="shared" si="18"/>
        <v>0</v>
      </c>
    </row>
    <row r="53" spans="1:20" s="5" customFormat="1" ht="15.75" customHeight="1">
      <c r="A53" s="118"/>
      <c r="B53" s="277" t="s">
        <v>167</v>
      </c>
      <c r="C53" s="278"/>
      <c r="D53" s="19">
        <f>D54</f>
        <v>2796000</v>
      </c>
      <c r="E53" s="19">
        <f aca="true" t="shared" si="24" ref="E53:R53">E54</f>
        <v>0</v>
      </c>
      <c r="F53" s="19">
        <f t="shared" si="24"/>
        <v>0</v>
      </c>
      <c r="G53" s="19">
        <f t="shared" si="24"/>
        <v>0</v>
      </c>
      <c r="H53" s="19">
        <f t="shared" si="24"/>
        <v>0</v>
      </c>
      <c r="I53" s="19">
        <f t="shared" si="24"/>
        <v>0</v>
      </c>
      <c r="J53" s="19">
        <f t="shared" si="24"/>
        <v>0</v>
      </c>
      <c r="K53" s="19">
        <f t="shared" si="24"/>
        <v>0</v>
      </c>
      <c r="L53" s="19">
        <f t="shared" si="24"/>
        <v>0</v>
      </c>
      <c r="M53" s="19">
        <f t="shared" si="24"/>
        <v>2796000</v>
      </c>
      <c r="N53" s="19">
        <f t="shared" si="24"/>
        <v>0</v>
      </c>
      <c r="O53" s="28">
        <f t="shared" si="24"/>
        <v>0</v>
      </c>
      <c r="P53" s="176">
        <f t="shared" si="24"/>
        <v>0</v>
      </c>
      <c r="Q53" s="19">
        <f t="shared" si="24"/>
        <v>0</v>
      </c>
      <c r="R53" s="19">
        <f t="shared" si="24"/>
        <v>0</v>
      </c>
      <c r="S53" s="117">
        <f t="shared" si="13"/>
        <v>0</v>
      </c>
      <c r="T53" s="117">
        <f t="shared" si="18"/>
        <v>0</v>
      </c>
    </row>
    <row r="54" spans="1:20" s="23" customFormat="1" ht="15.75" customHeight="1">
      <c r="A54" s="119"/>
      <c r="B54" s="10"/>
      <c r="C54" s="15" t="s">
        <v>36</v>
      </c>
      <c r="D54" s="14">
        <f>SUM(E54:R54)</f>
        <v>2796000</v>
      </c>
      <c r="E54" s="11"/>
      <c r="F54" s="11"/>
      <c r="G54" s="11"/>
      <c r="H54" s="11"/>
      <c r="I54" s="11"/>
      <c r="J54" s="11"/>
      <c r="K54" s="11"/>
      <c r="L54" s="147"/>
      <c r="M54" s="147">
        <f>'[11]수질개선'!$A$5</f>
        <v>2796000</v>
      </c>
      <c r="N54" s="147"/>
      <c r="O54" s="26"/>
      <c r="P54" s="178"/>
      <c r="Q54" s="147"/>
      <c r="R54" s="56"/>
      <c r="S54" s="117">
        <f t="shared" si="13"/>
        <v>0</v>
      </c>
      <c r="T54" s="117">
        <f t="shared" si="18"/>
        <v>0</v>
      </c>
    </row>
    <row r="55" spans="1:20" s="5" customFormat="1" ht="15.75" customHeight="1" hidden="1">
      <c r="A55" s="118"/>
      <c r="B55" s="277" t="s">
        <v>55</v>
      </c>
      <c r="C55" s="278"/>
      <c r="D55" s="19">
        <f>D56</f>
        <v>0</v>
      </c>
      <c r="E55" s="19">
        <f aca="true" t="shared" si="25" ref="E55:R55">E56</f>
        <v>0</v>
      </c>
      <c r="F55" s="19">
        <f t="shared" si="25"/>
        <v>0</v>
      </c>
      <c r="G55" s="19">
        <f t="shared" si="25"/>
        <v>0</v>
      </c>
      <c r="H55" s="19">
        <f t="shared" si="25"/>
        <v>0</v>
      </c>
      <c r="I55" s="19">
        <f t="shared" si="25"/>
        <v>0</v>
      </c>
      <c r="J55" s="19">
        <f t="shared" si="25"/>
        <v>0</v>
      </c>
      <c r="K55" s="19">
        <f t="shared" si="25"/>
        <v>0</v>
      </c>
      <c r="L55" s="19">
        <f t="shared" si="25"/>
        <v>0</v>
      </c>
      <c r="M55" s="267">
        <f t="shared" si="25"/>
        <v>0</v>
      </c>
      <c r="N55" s="19">
        <f t="shared" si="25"/>
        <v>0</v>
      </c>
      <c r="O55" s="28">
        <f t="shared" si="25"/>
        <v>0</v>
      </c>
      <c r="P55" s="176">
        <f t="shared" si="25"/>
        <v>0</v>
      </c>
      <c r="Q55" s="19">
        <f t="shared" si="25"/>
        <v>0</v>
      </c>
      <c r="R55" s="19">
        <f t="shared" si="25"/>
        <v>0</v>
      </c>
      <c r="S55" s="117">
        <f t="shared" si="13"/>
        <v>0</v>
      </c>
      <c r="T55" s="117">
        <f t="shared" si="18"/>
        <v>0</v>
      </c>
    </row>
    <row r="56" spans="1:20" s="23" customFormat="1" ht="15.75" customHeight="1" hidden="1">
      <c r="A56" s="119"/>
      <c r="B56" s="10"/>
      <c r="C56" s="16" t="s">
        <v>37</v>
      </c>
      <c r="D56" s="14">
        <f>SUM(E56:R56)</f>
        <v>0</v>
      </c>
      <c r="E56" s="11"/>
      <c r="F56" s="11"/>
      <c r="G56" s="11"/>
      <c r="H56" s="11"/>
      <c r="I56" s="11"/>
      <c r="J56" s="11"/>
      <c r="K56" s="11"/>
      <c r="L56" s="147"/>
      <c r="M56" s="266"/>
      <c r="N56" s="147"/>
      <c r="O56" s="26"/>
      <c r="P56" s="178"/>
      <c r="Q56" s="147"/>
      <c r="R56" s="56"/>
      <c r="S56" s="117">
        <f t="shared" si="13"/>
        <v>0</v>
      </c>
      <c r="T56" s="117">
        <f t="shared" si="18"/>
        <v>0</v>
      </c>
    </row>
    <row r="57" spans="1:20" s="5" customFormat="1" ht="15.75" customHeight="1" hidden="1">
      <c r="A57" s="118"/>
      <c r="B57" s="277" t="s">
        <v>150</v>
      </c>
      <c r="C57" s="278"/>
      <c r="D57" s="19">
        <f>D58</f>
        <v>0</v>
      </c>
      <c r="E57" s="19">
        <f aca="true" t="shared" si="26" ref="E57:R57">E58</f>
        <v>0</v>
      </c>
      <c r="F57" s="19">
        <f t="shared" si="26"/>
        <v>0</v>
      </c>
      <c r="G57" s="19">
        <f t="shared" si="26"/>
        <v>0</v>
      </c>
      <c r="H57" s="19">
        <f t="shared" si="26"/>
        <v>0</v>
      </c>
      <c r="I57" s="19">
        <f t="shared" si="26"/>
        <v>0</v>
      </c>
      <c r="J57" s="19">
        <f t="shared" si="26"/>
        <v>0</v>
      </c>
      <c r="K57" s="19">
        <f t="shared" si="26"/>
        <v>0</v>
      </c>
      <c r="L57" s="19">
        <f t="shared" si="26"/>
        <v>0</v>
      </c>
      <c r="M57" s="19">
        <f t="shared" si="26"/>
        <v>0</v>
      </c>
      <c r="N57" s="19">
        <f t="shared" si="26"/>
        <v>0</v>
      </c>
      <c r="O57" s="28">
        <f t="shared" si="26"/>
        <v>0</v>
      </c>
      <c r="P57" s="176">
        <f t="shared" si="26"/>
        <v>0</v>
      </c>
      <c r="Q57" s="19">
        <f t="shared" si="26"/>
        <v>0</v>
      </c>
      <c r="R57" s="19">
        <f t="shared" si="26"/>
        <v>0</v>
      </c>
      <c r="S57" s="117">
        <f t="shared" si="13"/>
        <v>0</v>
      </c>
      <c r="T57" s="117">
        <f t="shared" si="18"/>
        <v>0</v>
      </c>
    </row>
    <row r="58" spans="1:20" s="23" customFormat="1" ht="15.75" customHeight="1" hidden="1">
      <c r="A58" s="119"/>
      <c r="B58" s="10"/>
      <c r="C58" s="15" t="s">
        <v>150</v>
      </c>
      <c r="D58" s="14">
        <f>SUM(E58:R58)</f>
        <v>0</v>
      </c>
      <c r="E58" s="11"/>
      <c r="F58" s="11"/>
      <c r="G58" s="11"/>
      <c r="H58" s="11"/>
      <c r="I58" s="11"/>
      <c r="J58" s="11"/>
      <c r="K58" s="11"/>
      <c r="L58" s="147"/>
      <c r="M58" s="147"/>
      <c r="N58" s="147"/>
      <c r="O58" s="26"/>
      <c r="P58" s="178"/>
      <c r="Q58" s="147"/>
      <c r="R58" s="56"/>
      <c r="S58" s="117">
        <f t="shared" si="13"/>
        <v>0</v>
      </c>
      <c r="T58" s="117">
        <f t="shared" si="18"/>
        <v>0</v>
      </c>
    </row>
    <row r="59" spans="1:20" s="5" customFormat="1" ht="15.75" customHeight="1" hidden="1">
      <c r="A59" s="118"/>
      <c r="B59" s="277" t="s">
        <v>151</v>
      </c>
      <c r="C59" s="278"/>
      <c r="D59" s="19">
        <f>D60</f>
        <v>0</v>
      </c>
      <c r="E59" s="19">
        <f aca="true" t="shared" si="27" ref="E59:R59">E60</f>
        <v>0</v>
      </c>
      <c r="F59" s="19">
        <f t="shared" si="27"/>
        <v>0</v>
      </c>
      <c r="G59" s="19">
        <f t="shared" si="27"/>
        <v>0</v>
      </c>
      <c r="H59" s="19">
        <f t="shared" si="27"/>
        <v>0</v>
      </c>
      <c r="I59" s="19">
        <f t="shared" si="27"/>
        <v>0</v>
      </c>
      <c r="J59" s="19">
        <f t="shared" si="27"/>
        <v>0</v>
      </c>
      <c r="K59" s="19">
        <f t="shared" si="27"/>
        <v>0</v>
      </c>
      <c r="L59" s="19">
        <f t="shared" si="27"/>
        <v>0</v>
      </c>
      <c r="M59" s="19">
        <f t="shared" si="27"/>
        <v>0</v>
      </c>
      <c r="N59" s="19">
        <f t="shared" si="27"/>
        <v>0</v>
      </c>
      <c r="O59" s="28">
        <f t="shared" si="27"/>
        <v>0</v>
      </c>
      <c r="P59" s="176">
        <f t="shared" si="27"/>
        <v>0</v>
      </c>
      <c r="Q59" s="19">
        <f t="shared" si="27"/>
        <v>0</v>
      </c>
      <c r="R59" s="19">
        <f t="shared" si="27"/>
        <v>0</v>
      </c>
      <c r="S59" s="117">
        <f t="shared" si="13"/>
        <v>0</v>
      </c>
      <c r="T59" s="117">
        <f t="shared" si="18"/>
        <v>0</v>
      </c>
    </row>
    <row r="60" spans="1:20" s="23" customFormat="1" ht="15.75" customHeight="1" hidden="1">
      <c r="A60" s="119"/>
      <c r="B60" s="10"/>
      <c r="C60" s="16" t="s">
        <v>151</v>
      </c>
      <c r="D60" s="14">
        <f>SUM(E60:R60)</f>
        <v>0</v>
      </c>
      <c r="E60" s="11"/>
      <c r="F60" s="11"/>
      <c r="G60" s="11"/>
      <c r="H60" s="11"/>
      <c r="I60" s="11"/>
      <c r="J60" s="11"/>
      <c r="K60" s="11"/>
      <c r="L60" s="147"/>
      <c r="M60" s="147"/>
      <c r="N60" s="147"/>
      <c r="O60" s="26"/>
      <c r="P60" s="178"/>
      <c r="Q60" s="147"/>
      <c r="R60" s="56"/>
      <c r="S60" s="117">
        <f t="shared" si="13"/>
        <v>0</v>
      </c>
      <c r="T60" s="117">
        <f t="shared" si="18"/>
        <v>0</v>
      </c>
    </row>
    <row r="61" spans="1:20" s="5" customFormat="1" ht="15.75" customHeight="1">
      <c r="A61" s="118"/>
      <c r="B61" s="277" t="s">
        <v>163</v>
      </c>
      <c r="C61" s="278"/>
      <c r="D61" s="19">
        <f>D62</f>
        <v>10700000</v>
      </c>
      <c r="E61" s="19">
        <f aca="true" t="shared" si="28" ref="E61:R61">E62</f>
        <v>0</v>
      </c>
      <c r="F61" s="19">
        <f t="shared" si="28"/>
        <v>0</v>
      </c>
      <c r="G61" s="19">
        <f t="shared" si="28"/>
        <v>0</v>
      </c>
      <c r="H61" s="19">
        <f t="shared" si="28"/>
        <v>0</v>
      </c>
      <c r="I61" s="19">
        <f t="shared" si="28"/>
        <v>0</v>
      </c>
      <c r="J61" s="19">
        <f t="shared" si="28"/>
        <v>0</v>
      </c>
      <c r="K61" s="19">
        <f t="shared" si="28"/>
        <v>0</v>
      </c>
      <c r="L61" s="19">
        <f t="shared" si="28"/>
        <v>0</v>
      </c>
      <c r="M61" s="19">
        <f t="shared" si="28"/>
        <v>10700000</v>
      </c>
      <c r="N61" s="19">
        <f t="shared" si="28"/>
        <v>0</v>
      </c>
      <c r="O61" s="28">
        <f t="shared" si="28"/>
        <v>0</v>
      </c>
      <c r="P61" s="176">
        <f t="shared" si="28"/>
        <v>0</v>
      </c>
      <c r="Q61" s="19">
        <f t="shared" si="28"/>
        <v>0</v>
      </c>
      <c r="R61" s="19">
        <f t="shared" si="28"/>
        <v>0</v>
      </c>
      <c r="S61" s="117">
        <f t="shared" si="13"/>
        <v>0</v>
      </c>
      <c r="T61" s="117">
        <f t="shared" si="18"/>
        <v>0</v>
      </c>
    </row>
    <row r="62" spans="1:20" s="23" customFormat="1" ht="15.75" customHeight="1">
      <c r="A62" s="119"/>
      <c r="B62" s="9"/>
      <c r="C62" s="13" t="s">
        <v>143</v>
      </c>
      <c r="D62" s="14">
        <f>SUM(E62:R62)</f>
        <v>10700000</v>
      </c>
      <c r="E62" s="11"/>
      <c r="F62" s="11"/>
      <c r="G62" s="11"/>
      <c r="H62" s="11"/>
      <c r="I62" s="11"/>
      <c r="J62" s="11"/>
      <c r="K62" s="11"/>
      <c r="L62" s="147"/>
      <c r="M62" s="147">
        <f>'[11]수질개선'!$A$7</f>
        <v>10700000</v>
      </c>
      <c r="N62" s="147"/>
      <c r="O62" s="26"/>
      <c r="P62" s="178"/>
      <c r="Q62" s="147"/>
      <c r="R62" s="56"/>
      <c r="S62" s="117">
        <f t="shared" si="13"/>
        <v>0</v>
      </c>
      <c r="T62" s="117">
        <f t="shared" si="18"/>
        <v>0</v>
      </c>
    </row>
    <row r="63" spans="1:20" s="5" customFormat="1" ht="15.75" customHeight="1">
      <c r="A63" s="118"/>
      <c r="B63" s="277" t="s">
        <v>164</v>
      </c>
      <c r="C63" s="278"/>
      <c r="D63" s="19">
        <f>D64</f>
        <v>-356598</v>
      </c>
      <c r="E63" s="19">
        <f aca="true" t="shared" si="29" ref="E63:R63">E64</f>
        <v>0</v>
      </c>
      <c r="F63" s="19">
        <f t="shared" si="29"/>
        <v>0</v>
      </c>
      <c r="G63" s="19">
        <f t="shared" si="29"/>
        <v>0</v>
      </c>
      <c r="H63" s="19">
        <f t="shared" si="29"/>
        <v>0</v>
      </c>
      <c r="I63" s="19">
        <f t="shared" si="29"/>
        <v>0</v>
      </c>
      <c r="J63" s="19">
        <f t="shared" si="29"/>
        <v>0</v>
      </c>
      <c r="K63" s="19">
        <f t="shared" si="29"/>
        <v>0</v>
      </c>
      <c r="L63" s="19">
        <f t="shared" si="29"/>
        <v>0</v>
      </c>
      <c r="M63" s="19">
        <f t="shared" si="29"/>
        <v>-356598</v>
      </c>
      <c r="N63" s="19">
        <f t="shared" si="29"/>
        <v>0</v>
      </c>
      <c r="O63" s="28">
        <f t="shared" si="29"/>
        <v>0</v>
      </c>
      <c r="P63" s="176">
        <f t="shared" si="29"/>
        <v>0</v>
      </c>
      <c r="Q63" s="19">
        <f t="shared" si="29"/>
        <v>0</v>
      </c>
      <c r="R63" s="19">
        <f t="shared" si="29"/>
        <v>0</v>
      </c>
      <c r="S63" s="117">
        <f t="shared" si="13"/>
        <v>0</v>
      </c>
      <c r="T63" s="117">
        <f t="shared" si="18"/>
        <v>0</v>
      </c>
    </row>
    <row r="64" spans="1:20" s="23" customFormat="1" ht="15.75" customHeight="1">
      <c r="A64" s="119"/>
      <c r="B64" s="9"/>
      <c r="C64" s="13" t="s">
        <v>144</v>
      </c>
      <c r="D64" s="14">
        <f>SUM(E64:R64)</f>
        <v>-356598</v>
      </c>
      <c r="E64" s="11"/>
      <c r="F64" s="11"/>
      <c r="G64" s="11"/>
      <c r="H64" s="11"/>
      <c r="I64" s="11"/>
      <c r="J64" s="11"/>
      <c r="K64" s="11"/>
      <c r="L64" s="147"/>
      <c r="M64" s="147">
        <v>-356598</v>
      </c>
      <c r="N64" s="147"/>
      <c r="O64" s="26"/>
      <c r="P64" s="178"/>
      <c r="Q64" s="147"/>
      <c r="R64" s="56"/>
      <c r="S64" s="117">
        <f t="shared" si="13"/>
        <v>0</v>
      </c>
      <c r="T64" s="117">
        <f t="shared" si="18"/>
        <v>0</v>
      </c>
    </row>
    <row r="65" spans="1:20" s="5" customFormat="1" ht="15.75" customHeight="1">
      <c r="A65" s="118"/>
      <c r="B65" s="277" t="s">
        <v>165</v>
      </c>
      <c r="C65" s="278"/>
      <c r="D65" s="19">
        <f>D66</f>
        <v>4967000</v>
      </c>
      <c r="E65" s="19">
        <f aca="true" t="shared" si="30" ref="E65:R65">E66</f>
        <v>0</v>
      </c>
      <c r="F65" s="19">
        <f t="shared" si="30"/>
        <v>0</v>
      </c>
      <c r="G65" s="19">
        <f t="shared" si="30"/>
        <v>730000</v>
      </c>
      <c r="H65" s="19">
        <f t="shared" si="30"/>
        <v>0</v>
      </c>
      <c r="I65" s="19">
        <f t="shared" si="30"/>
        <v>0</v>
      </c>
      <c r="J65" s="19">
        <f t="shared" si="30"/>
        <v>0</v>
      </c>
      <c r="K65" s="19">
        <f t="shared" si="30"/>
        <v>0</v>
      </c>
      <c r="L65" s="19">
        <f t="shared" si="30"/>
        <v>3937000</v>
      </c>
      <c r="M65" s="19">
        <f t="shared" si="30"/>
        <v>300000</v>
      </c>
      <c r="N65" s="19">
        <f t="shared" si="30"/>
        <v>0</v>
      </c>
      <c r="O65" s="28">
        <f t="shared" si="30"/>
        <v>0</v>
      </c>
      <c r="P65" s="176">
        <f t="shared" si="30"/>
        <v>0</v>
      </c>
      <c r="Q65" s="19">
        <f t="shared" si="30"/>
        <v>0</v>
      </c>
      <c r="R65" s="19">
        <f t="shared" si="30"/>
        <v>0</v>
      </c>
      <c r="S65" s="117">
        <f t="shared" si="13"/>
        <v>0</v>
      </c>
      <c r="T65" s="117">
        <f t="shared" si="18"/>
        <v>0</v>
      </c>
    </row>
    <row r="66" spans="1:20" s="23" customFormat="1" ht="15.75" customHeight="1">
      <c r="A66" s="119"/>
      <c r="B66" s="10"/>
      <c r="C66" s="16" t="s">
        <v>38</v>
      </c>
      <c r="D66" s="14">
        <f>SUM(E66:R66)</f>
        <v>4967000</v>
      </c>
      <c r="E66" s="11"/>
      <c r="F66" s="11"/>
      <c r="G66" s="11">
        <f>'[5]의료급여'!$A$5</f>
        <v>730000</v>
      </c>
      <c r="H66" s="11"/>
      <c r="I66" s="11"/>
      <c r="J66" s="11"/>
      <c r="K66" s="71"/>
      <c r="L66" s="146">
        <f>'[10]농공단지'!$A$14</f>
        <v>3937000</v>
      </c>
      <c r="M66" s="146">
        <f>'[11]수질개선'!$A$9</f>
        <v>300000</v>
      </c>
      <c r="N66" s="146"/>
      <c r="O66" s="75"/>
      <c r="P66" s="177"/>
      <c r="Q66" s="146"/>
      <c r="R66" s="56"/>
      <c r="S66" s="117">
        <f t="shared" si="13"/>
        <v>0</v>
      </c>
      <c r="T66" s="117">
        <f t="shared" si="18"/>
        <v>0</v>
      </c>
    </row>
    <row r="67" spans="1:20" s="5" customFormat="1" ht="15.75" customHeight="1">
      <c r="A67" s="118"/>
      <c r="B67" s="277" t="s">
        <v>275</v>
      </c>
      <c r="C67" s="278"/>
      <c r="D67" s="19">
        <f>D68</f>
        <v>-2627568</v>
      </c>
      <c r="E67" s="19">
        <f aca="true" t="shared" si="31" ref="E67:R67">E68</f>
        <v>0</v>
      </c>
      <c r="F67" s="19">
        <f t="shared" si="31"/>
        <v>0</v>
      </c>
      <c r="G67" s="19">
        <f t="shared" si="31"/>
        <v>-338600</v>
      </c>
      <c r="H67" s="19">
        <f t="shared" si="31"/>
        <v>0</v>
      </c>
      <c r="I67" s="19">
        <f t="shared" si="31"/>
        <v>0</v>
      </c>
      <c r="J67" s="19">
        <f t="shared" si="31"/>
        <v>0</v>
      </c>
      <c r="K67" s="19">
        <f t="shared" si="31"/>
        <v>0</v>
      </c>
      <c r="L67" s="19">
        <f t="shared" si="31"/>
        <v>-2279002</v>
      </c>
      <c r="M67" s="19">
        <f t="shared" si="31"/>
        <v>-9966</v>
      </c>
      <c r="N67" s="19">
        <f t="shared" si="31"/>
        <v>0</v>
      </c>
      <c r="O67" s="28">
        <f t="shared" si="31"/>
        <v>0</v>
      </c>
      <c r="P67" s="176">
        <f t="shared" si="31"/>
        <v>0</v>
      </c>
      <c r="Q67" s="19">
        <f t="shared" si="31"/>
        <v>0</v>
      </c>
      <c r="R67" s="19">
        <f t="shared" si="31"/>
        <v>0</v>
      </c>
      <c r="S67" s="117"/>
      <c r="T67" s="117"/>
    </row>
    <row r="68" spans="1:20" s="23" customFormat="1" ht="15.75" customHeight="1">
      <c r="A68" s="119"/>
      <c r="B68" s="10"/>
      <c r="C68" s="16" t="s">
        <v>274</v>
      </c>
      <c r="D68" s="14">
        <f>SUM(E68:R68)</f>
        <v>-2627568</v>
      </c>
      <c r="E68" s="11"/>
      <c r="F68" s="11"/>
      <c r="G68" s="14">
        <f>-'[17]감가상각 및 무형자산 상각'!$J$48</f>
        <v>-338600</v>
      </c>
      <c r="H68" s="11"/>
      <c r="I68" s="11"/>
      <c r="J68" s="11"/>
      <c r="K68" s="71"/>
      <c r="L68" s="147">
        <f>-'[10]농공단지'!$E$16-692175</f>
        <v>-2279002</v>
      </c>
      <c r="M68" s="147">
        <v>-9966</v>
      </c>
      <c r="N68" s="146"/>
      <c r="O68" s="75"/>
      <c r="P68" s="177"/>
      <c r="Q68" s="146"/>
      <c r="R68" s="56"/>
      <c r="S68" s="117"/>
      <c r="T68" s="117"/>
    </row>
    <row r="69" spans="1:20" s="5" customFormat="1" ht="15.75" customHeight="1" hidden="1">
      <c r="A69" s="118"/>
      <c r="B69" s="277" t="s">
        <v>267</v>
      </c>
      <c r="C69" s="278"/>
      <c r="D69" s="19">
        <f>D70</f>
        <v>0</v>
      </c>
      <c r="E69" s="19">
        <f aca="true" t="shared" si="32" ref="E69:R69">E70</f>
        <v>0</v>
      </c>
      <c r="F69" s="19">
        <f t="shared" si="32"/>
        <v>0</v>
      </c>
      <c r="G69" s="19">
        <f t="shared" si="32"/>
        <v>0</v>
      </c>
      <c r="H69" s="19">
        <f t="shared" si="32"/>
        <v>0</v>
      </c>
      <c r="I69" s="19">
        <f t="shared" si="32"/>
        <v>0</v>
      </c>
      <c r="J69" s="19">
        <f t="shared" si="32"/>
        <v>0</v>
      </c>
      <c r="K69" s="19">
        <f t="shared" si="32"/>
        <v>0</v>
      </c>
      <c r="L69" s="19">
        <f t="shared" si="32"/>
        <v>0</v>
      </c>
      <c r="M69" s="19">
        <f t="shared" si="32"/>
        <v>0</v>
      </c>
      <c r="N69" s="19">
        <f t="shared" si="32"/>
        <v>0</v>
      </c>
      <c r="O69" s="28">
        <f t="shared" si="32"/>
        <v>0</v>
      </c>
      <c r="P69" s="176">
        <f t="shared" si="32"/>
        <v>0</v>
      </c>
      <c r="Q69" s="19">
        <f t="shared" si="32"/>
        <v>0</v>
      </c>
      <c r="R69" s="19">
        <f t="shared" si="32"/>
        <v>0</v>
      </c>
      <c r="S69" s="117">
        <f t="shared" si="13"/>
        <v>0</v>
      </c>
      <c r="T69" s="117">
        <f t="shared" si="18"/>
        <v>0</v>
      </c>
    </row>
    <row r="70" spans="1:20" s="23" customFormat="1" ht="15.75" customHeight="1" hidden="1">
      <c r="A70" s="119"/>
      <c r="B70" s="10"/>
      <c r="C70" s="16" t="s">
        <v>267</v>
      </c>
      <c r="D70" s="14">
        <f>SUM(E70:R70)</f>
        <v>0</v>
      </c>
      <c r="E70" s="11"/>
      <c r="F70" s="68"/>
      <c r="G70" s="11"/>
      <c r="H70" s="11"/>
      <c r="I70" s="11"/>
      <c r="J70" s="11"/>
      <c r="K70" s="11"/>
      <c r="L70" s="147"/>
      <c r="M70" s="147"/>
      <c r="N70" s="147"/>
      <c r="O70" s="26"/>
      <c r="P70" s="178"/>
      <c r="Q70" s="147"/>
      <c r="R70" s="56"/>
      <c r="S70" s="117">
        <f t="shared" si="13"/>
        <v>0</v>
      </c>
      <c r="T70" s="117">
        <f t="shared" si="18"/>
        <v>0</v>
      </c>
    </row>
    <row r="71" spans="1:20" s="23" customFormat="1" ht="15.75" customHeight="1">
      <c r="A71" s="119"/>
      <c r="B71" s="10"/>
      <c r="C71" s="16"/>
      <c r="D71" s="14">
        <f>SUM(E71:K71)</f>
        <v>0</v>
      </c>
      <c r="E71" s="11"/>
      <c r="F71" s="11"/>
      <c r="G71" s="11"/>
      <c r="H71" s="11"/>
      <c r="I71" s="11"/>
      <c r="J71" s="11"/>
      <c r="K71" s="11"/>
      <c r="L71" s="147"/>
      <c r="M71" s="147"/>
      <c r="N71" s="147"/>
      <c r="O71" s="26"/>
      <c r="P71" s="178"/>
      <c r="Q71" s="147"/>
      <c r="R71" s="56"/>
      <c r="S71" s="117">
        <f t="shared" si="13"/>
        <v>0</v>
      </c>
      <c r="T71" s="117">
        <f t="shared" si="18"/>
        <v>0</v>
      </c>
    </row>
    <row r="72" spans="1:20" s="5" customFormat="1" ht="15.75" customHeight="1">
      <c r="A72" s="276" t="s">
        <v>71</v>
      </c>
      <c r="B72" s="277"/>
      <c r="C72" s="278"/>
      <c r="D72" s="19">
        <f>D78+D81+D93+D96+D98+D88+D91+D73+D76+D101+D83+D86+D103</f>
        <v>624390651</v>
      </c>
      <c r="E72" s="19">
        <f aca="true" t="shared" si="33" ref="E72:R72">E78+E81+E93+E96+E98+E88+E91+E73+E76+E101+E83+E86+E103</f>
        <v>0</v>
      </c>
      <c r="F72" s="19">
        <f t="shared" si="33"/>
        <v>228380830</v>
      </c>
      <c r="G72" s="19">
        <f t="shared" si="33"/>
        <v>1000</v>
      </c>
      <c r="H72" s="19">
        <f t="shared" si="33"/>
        <v>0</v>
      </c>
      <c r="I72" s="19">
        <f t="shared" si="33"/>
        <v>0</v>
      </c>
      <c r="J72" s="19">
        <f t="shared" si="33"/>
        <v>396008821</v>
      </c>
      <c r="K72" s="19">
        <f t="shared" si="33"/>
        <v>0</v>
      </c>
      <c r="L72" s="19">
        <f t="shared" si="33"/>
        <v>0</v>
      </c>
      <c r="M72" s="19">
        <f t="shared" si="33"/>
        <v>0</v>
      </c>
      <c r="N72" s="19">
        <f t="shared" si="33"/>
        <v>0</v>
      </c>
      <c r="O72" s="28">
        <f t="shared" si="33"/>
        <v>0</v>
      </c>
      <c r="P72" s="176">
        <f t="shared" si="33"/>
        <v>0</v>
      </c>
      <c r="Q72" s="19">
        <f t="shared" si="33"/>
        <v>0</v>
      </c>
      <c r="R72" s="19">
        <f t="shared" si="33"/>
        <v>0</v>
      </c>
      <c r="S72" s="117">
        <f t="shared" si="13"/>
        <v>0</v>
      </c>
      <c r="T72" s="117">
        <f t="shared" si="18"/>
        <v>0</v>
      </c>
    </row>
    <row r="73" spans="1:20" s="5" customFormat="1" ht="15.75" customHeight="1" hidden="1">
      <c r="A73" s="27"/>
      <c r="B73" s="277" t="s">
        <v>241</v>
      </c>
      <c r="C73" s="278"/>
      <c r="D73" s="19">
        <f>D74+D75</f>
        <v>0</v>
      </c>
      <c r="E73" s="19">
        <f aca="true" t="shared" si="34" ref="E73:R73">E74+E75</f>
        <v>0</v>
      </c>
      <c r="F73" s="19">
        <f t="shared" si="34"/>
        <v>0</v>
      </c>
      <c r="G73" s="19">
        <f t="shared" si="34"/>
        <v>0</v>
      </c>
      <c r="H73" s="19">
        <f t="shared" si="34"/>
        <v>0</v>
      </c>
      <c r="I73" s="19">
        <f t="shared" si="34"/>
        <v>0</v>
      </c>
      <c r="J73" s="19">
        <f t="shared" si="34"/>
        <v>0</v>
      </c>
      <c r="K73" s="19">
        <f t="shared" si="34"/>
        <v>0</v>
      </c>
      <c r="L73" s="19">
        <f t="shared" si="34"/>
        <v>0</v>
      </c>
      <c r="M73" s="19">
        <f t="shared" si="34"/>
        <v>0</v>
      </c>
      <c r="N73" s="19">
        <f t="shared" si="34"/>
        <v>0</v>
      </c>
      <c r="O73" s="28">
        <f t="shared" si="34"/>
        <v>0</v>
      </c>
      <c r="P73" s="176">
        <f t="shared" si="34"/>
        <v>0</v>
      </c>
      <c r="Q73" s="19">
        <f t="shared" si="34"/>
        <v>0</v>
      </c>
      <c r="R73" s="19">
        <f t="shared" si="34"/>
        <v>0</v>
      </c>
      <c r="S73" s="117"/>
      <c r="T73" s="117"/>
    </row>
    <row r="74" spans="1:20" s="23" customFormat="1" ht="15.75" customHeight="1" hidden="1">
      <c r="A74" s="76"/>
      <c r="B74" s="12"/>
      <c r="C74" s="13" t="s">
        <v>242</v>
      </c>
      <c r="D74" s="14">
        <f>SUM(E74:R74)</f>
        <v>0</v>
      </c>
      <c r="E74" s="14"/>
      <c r="F74" s="14"/>
      <c r="G74" s="14"/>
      <c r="H74" s="14"/>
      <c r="I74" s="14"/>
      <c r="J74" s="14"/>
      <c r="K74" s="14"/>
      <c r="L74" s="142"/>
      <c r="M74" s="142"/>
      <c r="N74" s="142"/>
      <c r="O74" s="196"/>
      <c r="P74" s="180"/>
      <c r="Q74" s="142"/>
      <c r="R74" s="142"/>
      <c r="S74" s="141"/>
      <c r="T74" s="141"/>
    </row>
    <row r="75" spans="1:20" s="23" customFormat="1" ht="15.75" customHeight="1" hidden="1">
      <c r="A75" s="76"/>
      <c r="B75" s="12"/>
      <c r="C75" s="13" t="s">
        <v>243</v>
      </c>
      <c r="D75" s="14">
        <f>SUM(E75:R75)</f>
        <v>0</v>
      </c>
      <c r="E75" s="14"/>
      <c r="F75" s="14"/>
      <c r="G75" s="14"/>
      <c r="H75" s="14"/>
      <c r="I75" s="14"/>
      <c r="J75" s="14"/>
      <c r="K75" s="14"/>
      <c r="L75" s="142"/>
      <c r="M75" s="142"/>
      <c r="N75" s="142"/>
      <c r="O75" s="196"/>
      <c r="P75" s="180"/>
      <c r="Q75" s="142"/>
      <c r="R75" s="142"/>
      <c r="S75" s="141"/>
      <c r="T75" s="141"/>
    </row>
    <row r="76" spans="1:20" s="5" customFormat="1" ht="15.75" customHeight="1" hidden="1">
      <c r="A76" s="27"/>
      <c r="B76" s="277" t="s">
        <v>244</v>
      </c>
      <c r="C76" s="278"/>
      <c r="D76" s="19">
        <f>D77</f>
        <v>0</v>
      </c>
      <c r="E76" s="19">
        <f aca="true" t="shared" si="35" ref="E76:R76">E77</f>
        <v>0</v>
      </c>
      <c r="F76" s="19">
        <f t="shared" si="35"/>
        <v>0</v>
      </c>
      <c r="G76" s="19">
        <f t="shared" si="35"/>
        <v>0</v>
      </c>
      <c r="H76" s="19">
        <f t="shared" si="35"/>
        <v>0</v>
      </c>
      <c r="I76" s="19">
        <f t="shared" si="35"/>
        <v>0</v>
      </c>
      <c r="J76" s="19">
        <f t="shared" si="35"/>
        <v>0</v>
      </c>
      <c r="K76" s="19">
        <f t="shared" si="35"/>
        <v>0</v>
      </c>
      <c r="L76" s="19">
        <f t="shared" si="35"/>
        <v>0</v>
      </c>
      <c r="M76" s="19">
        <f t="shared" si="35"/>
        <v>0</v>
      </c>
      <c r="N76" s="19">
        <f t="shared" si="35"/>
        <v>0</v>
      </c>
      <c r="O76" s="28">
        <f t="shared" si="35"/>
        <v>0</v>
      </c>
      <c r="P76" s="176">
        <f t="shared" si="35"/>
        <v>0</v>
      </c>
      <c r="Q76" s="19">
        <f t="shared" si="35"/>
        <v>0</v>
      </c>
      <c r="R76" s="19">
        <f t="shared" si="35"/>
        <v>0</v>
      </c>
      <c r="S76" s="117"/>
      <c r="T76" s="117"/>
    </row>
    <row r="77" spans="1:20" s="23" customFormat="1" ht="15.75" customHeight="1" hidden="1">
      <c r="A77" s="76"/>
      <c r="B77" s="12"/>
      <c r="C77" s="13" t="s">
        <v>244</v>
      </c>
      <c r="D77" s="14">
        <f>SUM(E77:R77)</f>
        <v>0</v>
      </c>
      <c r="E77" s="14"/>
      <c r="F77" s="14"/>
      <c r="G77" s="14"/>
      <c r="H77" s="14"/>
      <c r="I77" s="14"/>
      <c r="J77" s="14"/>
      <c r="K77" s="14"/>
      <c r="L77" s="142"/>
      <c r="M77" s="142"/>
      <c r="N77" s="142"/>
      <c r="O77" s="196"/>
      <c r="P77" s="180"/>
      <c r="Q77" s="142"/>
      <c r="R77" s="142"/>
      <c r="S77" s="141"/>
      <c r="T77" s="141"/>
    </row>
    <row r="78" spans="1:20" s="5" customFormat="1" ht="15.75" customHeight="1">
      <c r="A78" s="118"/>
      <c r="B78" s="277" t="s">
        <v>245</v>
      </c>
      <c r="C78" s="278"/>
      <c r="D78" s="19">
        <f>D79+D80</f>
        <v>62948140</v>
      </c>
      <c r="E78" s="19">
        <f aca="true" t="shared" si="36" ref="E78:R78">E79+E80</f>
        <v>0</v>
      </c>
      <c r="F78" s="19">
        <f t="shared" si="36"/>
        <v>0</v>
      </c>
      <c r="G78" s="19">
        <f t="shared" si="36"/>
        <v>0</v>
      </c>
      <c r="H78" s="19"/>
      <c r="I78" s="19"/>
      <c r="J78" s="19">
        <f t="shared" si="36"/>
        <v>62948140</v>
      </c>
      <c r="K78" s="19">
        <f t="shared" si="36"/>
        <v>0</v>
      </c>
      <c r="L78" s="19">
        <f t="shared" si="36"/>
        <v>0</v>
      </c>
      <c r="M78" s="19">
        <f t="shared" si="36"/>
        <v>0</v>
      </c>
      <c r="N78" s="19">
        <f t="shared" si="36"/>
        <v>0</v>
      </c>
      <c r="O78" s="28">
        <f t="shared" si="36"/>
        <v>0</v>
      </c>
      <c r="P78" s="176">
        <f t="shared" si="36"/>
        <v>0</v>
      </c>
      <c r="Q78" s="19">
        <f t="shared" si="36"/>
        <v>0</v>
      </c>
      <c r="R78" s="19">
        <f t="shared" si="36"/>
        <v>0</v>
      </c>
      <c r="S78" s="117">
        <f>D78-SUM(E78:R78)</f>
        <v>0</v>
      </c>
      <c r="T78" s="117">
        <f>D78-SUM(E78:R78)</f>
        <v>0</v>
      </c>
    </row>
    <row r="79" spans="1:20" s="23" customFormat="1" ht="15.75" customHeight="1" hidden="1">
      <c r="A79" s="119"/>
      <c r="B79" s="12"/>
      <c r="C79" s="15" t="s">
        <v>246</v>
      </c>
      <c r="D79" s="14">
        <f>SUM(E79:R79)</f>
        <v>0</v>
      </c>
      <c r="E79" s="11"/>
      <c r="F79" s="11"/>
      <c r="G79" s="71"/>
      <c r="H79" s="71"/>
      <c r="I79" s="71"/>
      <c r="J79" s="71"/>
      <c r="K79" s="11"/>
      <c r="L79" s="147"/>
      <c r="M79" s="147"/>
      <c r="N79" s="147"/>
      <c r="O79" s="26"/>
      <c r="P79" s="178"/>
      <c r="Q79" s="147"/>
      <c r="R79" s="56"/>
      <c r="S79" s="117">
        <f>D79-SUM(E79:R79)</f>
        <v>0</v>
      </c>
      <c r="T79" s="117">
        <f>D79-SUM(E79:R79)</f>
        <v>0</v>
      </c>
    </row>
    <row r="80" spans="1:20" s="23" customFormat="1" ht="15.75" customHeight="1">
      <c r="A80" s="119"/>
      <c r="B80" s="12"/>
      <c r="C80" s="15" t="s">
        <v>247</v>
      </c>
      <c r="D80" s="14">
        <f>SUM(E80:R80)</f>
        <v>62948140</v>
      </c>
      <c r="E80" s="11"/>
      <c r="F80" s="11"/>
      <c r="G80" s="71"/>
      <c r="H80" s="71"/>
      <c r="I80" s="71"/>
      <c r="J80" s="71">
        <f>26376140+9345000+27227000</f>
        <v>62948140</v>
      </c>
      <c r="K80" s="11"/>
      <c r="L80" s="147"/>
      <c r="M80" s="147"/>
      <c r="N80" s="147"/>
      <c r="O80" s="26"/>
      <c r="P80" s="178"/>
      <c r="Q80" s="147"/>
      <c r="R80" s="56"/>
      <c r="S80" s="117">
        <f>D80-SUM(E80:R80)</f>
        <v>0</v>
      </c>
      <c r="T80" s="117">
        <f>D80-SUM(E80:R80)</f>
        <v>0</v>
      </c>
    </row>
    <row r="81" spans="1:20" s="5" customFormat="1" ht="15.75" customHeight="1">
      <c r="A81" s="118"/>
      <c r="B81" s="277" t="s">
        <v>248</v>
      </c>
      <c r="C81" s="278"/>
      <c r="D81" s="19">
        <f>D82</f>
        <v>-5728039</v>
      </c>
      <c r="E81" s="19">
        <f aca="true" t="shared" si="37" ref="E81:R81">E82</f>
        <v>0</v>
      </c>
      <c r="F81" s="19">
        <f t="shared" si="37"/>
        <v>0</v>
      </c>
      <c r="G81" s="19">
        <f t="shared" si="37"/>
        <v>0</v>
      </c>
      <c r="H81" s="19"/>
      <c r="I81" s="19"/>
      <c r="J81" s="19">
        <f t="shared" si="37"/>
        <v>-5728039</v>
      </c>
      <c r="K81" s="19">
        <f t="shared" si="37"/>
        <v>0</v>
      </c>
      <c r="L81" s="19">
        <f t="shared" si="37"/>
        <v>0</v>
      </c>
      <c r="M81" s="19">
        <f t="shared" si="37"/>
        <v>0</v>
      </c>
      <c r="N81" s="19">
        <f t="shared" si="37"/>
        <v>0</v>
      </c>
      <c r="O81" s="28">
        <f t="shared" si="37"/>
        <v>0</v>
      </c>
      <c r="P81" s="176">
        <f t="shared" si="37"/>
        <v>0</v>
      </c>
      <c r="Q81" s="19">
        <f t="shared" si="37"/>
        <v>0</v>
      </c>
      <c r="R81" s="19">
        <f t="shared" si="37"/>
        <v>0</v>
      </c>
      <c r="S81" s="117">
        <f>D81-SUM(E81:R81)</f>
        <v>0</v>
      </c>
      <c r="T81" s="117">
        <f>D81-SUM(E81:R81)</f>
        <v>0</v>
      </c>
    </row>
    <row r="82" spans="1:20" s="23" customFormat="1" ht="15.75" customHeight="1">
      <c r="A82" s="119"/>
      <c r="B82" s="12"/>
      <c r="C82" s="15" t="s">
        <v>248</v>
      </c>
      <c r="D82" s="14">
        <f>SUM(E82:R82)</f>
        <v>-5728039</v>
      </c>
      <c r="E82" s="11"/>
      <c r="F82" s="11"/>
      <c r="G82" s="11"/>
      <c r="H82" s="11"/>
      <c r="I82" s="11"/>
      <c r="J82" s="14">
        <f>-'[17]감가상각 및 무형자산 상각'!$J$38</f>
        <v>-5728039</v>
      </c>
      <c r="K82" s="11"/>
      <c r="L82" s="147"/>
      <c r="M82" s="147"/>
      <c r="N82" s="147"/>
      <c r="O82" s="26"/>
      <c r="P82" s="178"/>
      <c r="Q82" s="147"/>
      <c r="R82" s="56"/>
      <c r="S82" s="117">
        <f>D82-SUM(E82:R82)</f>
        <v>0</v>
      </c>
      <c r="T82" s="117">
        <f>D82-SUM(E82:R82)</f>
        <v>0</v>
      </c>
    </row>
    <row r="83" spans="1:20" s="5" customFormat="1" ht="15.75" customHeight="1" hidden="1">
      <c r="A83" s="118"/>
      <c r="B83" s="277" t="s">
        <v>282</v>
      </c>
      <c r="C83" s="278"/>
      <c r="D83" s="19">
        <f>D84+D85</f>
        <v>0</v>
      </c>
      <c r="E83" s="19">
        <f aca="true" t="shared" si="38" ref="E83:R83">E84+E85</f>
        <v>0</v>
      </c>
      <c r="F83" s="19">
        <f t="shared" si="38"/>
        <v>0</v>
      </c>
      <c r="G83" s="19">
        <f t="shared" si="38"/>
        <v>0</v>
      </c>
      <c r="H83" s="19">
        <f t="shared" si="38"/>
        <v>0</v>
      </c>
      <c r="I83" s="19">
        <f t="shared" si="38"/>
        <v>0</v>
      </c>
      <c r="J83" s="19">
        <f t="shared" si="38"/>
        <v>0</v>
      </c>
      <c r="K83" s="19">
        <f t="shared" si="38"/>
        <v>0</v>
      </c>
      <c r="L83" s="19">
        <f t="shared" si="38"/>
        <v>0</v>
      </c>
      <c r="M83" s="19">
        <f t="shared" si="38"/>
        <v>0</v>
      </c>
      <c r="N83" s="19">
        <f t="shared" si="38"/>
        <v>0</v>
      </c>
      <c r="O83" s="28">
        <f t="shared" si="38"/>
        <v>0</v>
      </c>
      <c r="P83" s="176">
        <f t="shared" si="38"/>
        <v>0</v>
      </c>
      <c r="Q83" s="19">
        <f t="shared" si="38"/>
        <v>0</v>
      </c>
      <c r="R83" s="19">
        <f t="shared" si="38"/>
        <v>0</v>
      </c>
      <c r="S83" s="117"/>
      <c r="T83" s="117"/>
    </row>
    <row r="84" spans="1:20" s="23" customFormat="1" ht="15.75" customHeight="1" hidden="1">
      <c r="A84" s="119"/>
      <c r="B84" s="12"/>
      <c r="C84" s="13" t="s">
        <v>279</v>
      </c>
      <c r="D84" s="14">
        <f>SUM(E84:R84)</f>
        <v>0</v>
      </c>
      <c r="E84" s="11"/>
      <c r="F84" s="11"/>
      <c r="G84" s="11"/>
      <c r="H84" s="11"/>
      <c r="I84" s="11"/>
      <c r="J84" s="11"/>
      <c r="K84" s="11"/>
      <c r="L84" s="147"/>
      <c r="M84" s="147"/>
      <c r="N84" s="147"/>
      <c r="O84" s="26"/>
      <c r="P84" s="178"/>
      <c r="Q84" s="147"/>
      <c r="R84" s="149"/>
      <c r="S84" s="117"/>
      <c r="T84" s="117"/>
    </row>
    <row r="85" spans="1:20" s="23" customFormat="1" ht="15.75" customHeight="1" hidden="1">
      <c r="A85" s="119"/>
      <c r="B85" s="12"/>
      <c r="C85" s="13" t="s">
        <v>280</v>
      </c>
      <c r="D85" s="14">
        <f>SUM(E85:R85)</f>
        <v>0</v>
      </c>
      <c r="E85" s="11"/>
      <c r="F85" s="11"/>
      <c r="G85" s="11"/>
      <c r="H85" s="11"/>
      <c r="I85" s="11"/>
      <c r="J85" s="11"/>
      <c r="K85" s="11"/>
      <c r="L85" s="147"/>
      <c r="M85" s="147"/>
      <c r="N85" s="147"/>
      <c r="O85" s="26"/>
      <c r="P85" s="178"/>
      <c r="Q85" s="147"/>
      <c r="R85" s="149"/>
      <c r="S85" s="117"/>
      <c r="T85" s="117"/>
    </row>
    <row r="86" spans="1:20" s="5" customFormat="1" ht="15.75" customHeight="1" hidden="1">
      <c r="A86" s="118"/>
      <c r="B86" s="277" t="s">
        <v>281</v>
      </c>
      <c r="C86" s="278"/>
      <c r="D86" s="19">
        <f>D87</f>
        <v>0</v>
      </c>
      <c r="E86" s="19">
        <f aca="true" t="shared" si="39" ref="E86:R86">E87</f>
        <v>0</v>
      </c>
      <c r="F86" s="19">
        <f t="shared" si="39"/>
        <v>0</v>
      </c>
      <c r="G86" s="19">
        <f t="shared" si="39"/>
        <v>0</v>
      </c>
      <c r="H86" s="19">
        <f t="shared" si="39"/>
        <v>0</v>
      </c>
      <c r="I86" s="19">
        <f t="shared" si="39"/>
        <v>0</v>
      </c>
      <c r="J86" s="19">
        <f t="shared" si="39"/>
        <v>0</v>
      </c>
      <c r="K86" s="19">
        <f t="shared" si="39"/>
        <v>0</v>
      </c>
      <c r="L86" s="19">
        <f t="shared" si="39"/>
        <v>0</v>
      </c>
      <c r="M86" s="19">
        <f t="shared" si="39"/>
        <v>0</v>
      </c>
      <c r="N86" s="19">
        <f t="shared" si="39"/>
        <v>0</v>
      </c>
      <c r="O86" s="28">
        <f t="shared" si="39"/>
        <v>0</v>
      </c>
      <c r="P86" s="176">
        <f t="shared" si="39"/>
        <v>0</v>
      </c>
      <c r="Q86" s="19">
        <f t="shared" si="39"/>
        <v>0</v>
      </c>
      <c r="R86" s="19">
        <f t="shared" si="39"/>
        <v>0</v>
      </c>
      <c r="S86" s="117"/>
      <c r="T86" s="117"/>
    </row>
    <row r="87" spans="1:20" s="23" customFormat="1" ht="15.75" customHeight="1" hidden="1">
      <c r="A87" s="119"/>
      <c r="B87" s="12"/>
      <c r="C87" s="15" t="s">
        <v>281</v>
      </c>
      <c r="D87" s="14">
        <f>SUM(E87:R87)</f>
        <v>0</v>
      </c>
      <c r="E87" s="11"/>
      <c r="F87" s="11"/>
      <c r="G87" s="11"/>
      <c r="H87" s="11"/>
      <c r="I87" s="11"/>
      <c r="J87" s="11"/>
      <c r="K87" s="11"/>
      <c r="L87" s="147"/>
      <c r="M87" s="147"/>
      <c r="N87" s="147"/>
      <c r="O87" s="26"/>
      <c r="P87" s="178"/>
      <c r="Q87" s="147"/>
      <c r="R87" s="149"/>
      <c r="S87" s="117"/>
      <c r="T87" s="117"/>
    </row>
    <row r="88" spans="1:20" s="5" customFormat="1" ht="15.75" customHeight="1">
      <c r="A88" s="118"/>
      <c r="B88" s="277" t="s">
        <v>300</v>
      </c>
      <c r="C88" s="278"/>
      <c r="D88" s="19">
        <f>D89+D90</f>
        <v>148750840</v>
      </c>
      <c r="E88" s="19">
        <f aca="true" t="shared" si="40" ref="E88:R88">E89+E90</f>
        <v>0</v>
      </c>
      <c r="F88" s="19">
        <f t="shared" si="40"/>
        <v>0</v>
      </c>
      <c r="G88" s="19">
        <f t="shared" si="40"/>
        <v>0</v>
      </c>
      <c r="H88" s="19">
        <f t="shared" si="40"/>
        <v>0</v>
      </c>
      <c r="I88" s="19">
        <f t="shared" si="40"/>
        <v>0</v>
      </c>
      <c r="J88" s="19">
        <f t="shared" si="40"/>
        <v>148750840</v>
      </c>
      <c r="K88" s="19">
        <f t="shared" si="40"/>
        <v>0</v>
      </c>
      <c r="L88" s="19">
        <f t="shared" si="40"/>
        <v>0</v>
      </c>
      <c r="M88" s="19">
        <f t="shared" si="40"/>
        <v>0</v>
      </c>
      <c r="N88" s="19">
        <f t="shared" si="40"/>
        <v>0</v>
      </c>
      <c r="O88" s="28">
        <f t="shared" si="40"/>
        <v>0</v>
      </c>
      <c r="P88" s="176">
        <f t="shared" si="40"/>
        <v>0</v>
      </c>
      <c r="Q88" s="19">
        <f t="shared" si="40"/>
        <v>0</v>
      </c>
      <c r="R88" s="19">
        <f t="shared" si="40"/>
        <v>0</v>
      </c>
      <c r="S88" s="117"/>
      <c r="T88" s="117"/>
    </row>
    <row r="89" spans="1:20" s="23" customFormat="1" ht="15.75" customHeight="1">
      <c r="A89" s="119"/>
      <c r="B89" s="12"/>
      <c r="C89" s="15" t="s">
        <v>301</v>
      </c>
      <c r="D89" s="14">
        <f>SUM(E89:R89)</f>
        <v>148750840</v>
      </c>
      <c r="E89" s="11"/>
      <c r="F89" s="11"/>
      <c r="G89" s="11"/>
      <c r="H89" s="11"/>
      <c r="I89" s="11"/>
      <c r="J89" s="11">
        <f>'[8]발전소주변지역'!$A$9</f>
        <v>148750840</v>
      </c>
      <c r="K89" s="11"/>
      <c r="L89" s="147"/>
      <c r="M89" s="147"/>
      <c r="N89" s="147"/>
      <c r="O89" s="26"/>
      <c r="P89" s="178"/>
      <c r="Q89" s="147"/>
      <c r="R89" s="56"/>
      <c r="S89" s="117"/>
      <c r="T89" s="117"/>
    </row>
    <row r="90" spans="1:20" s="23" customFormat="1" ht="15.75" customHeight="1" hidden="1">
      <c r="A90" s="119"/>
      <c r="B90" s="12"/>
      <c r="C90" s="15" t="s">
        <v>302</v>
      </c>
      <c r="D90" s="14">
        <f>SUM(E90:R90)</f>
        <v>0</v>
      </c>
      <c r="E90" s="11"/>
      <c r="F90" s="11"/>
      <c r="G90" s="11"/>
      <c r="H90" s="11"/>
      <c r="I90" s="11"/>
      <c r="J90" s="11"/>
      <c r="K90" s="11"/>
      <c r="L90" s="147"/>
      <c r="M90" s="147"/>
      <c r="N90" s="147"/>
      <c r="O90" s="26"/>
      <c r="P90" s="178"/>
      <c r="Q90" s="147"/>
      <c r="R90" s="56"/>
      <c r="S90" s="117"/>
      <c r="T90" s="117"/>
    </row>
    <row r="91" spans="1:20" s="5" customFormat="1" ht="15.75" customHeight="1" hidden="1">
      <c r="A91" s="118"/>
      <c r="B91" s="277" t="s">
        <v>303</v>
      </c>
      <c r="C91" s="278"/>
      <c r="D91" s="19">
        <f>D92</f>
        <v>0</v>
      </c>
      <c r="E91" s="19">
        <f aca="true" t="shared" si="41" ref="E91:R91">E92</f>
        <v>0</v>
      </c>
      <c r="F91" s="19">
        <f t="shared" si="41"/>
        <v>0</v>
      </c>
      <c r="G91" s="19">
        <f t="shared" si="41"/>
        <v>0</v>
      </c>
      <c r="H91" s="19">
        <f t="shared" si="41"/>
        <v>0</v>
      </c>
      <c r="I91" s="19">
        <f t="shared" si="41"/>
        <v>0</v>
      </c>
      <c r="J91" s="19">
        <f t="shared" si="41"/>
        <v>0</v>
      </c>
      <c r="K91" s="19">
        <f t="shared" si="41"/>
        <v>0</v>
      </c>
      <c r="L91" s="19">
        <f t="shared" si="41"/>
        <v>0</v>
      </c>
      <c r="M91" s="19">
        <f t="shared" si="41"/>
        <v>0</v>
      </c>
      <c r="N91" s="19">
        <f t="shared" si="41"/>
        <v>0</v>
      </c>
      <c r="O91" s="28">
        <f t="shared" si="41"/>
        <v>0</v>
      </c>
      <c r="P91" s="176">
        <f t="shared" si="41"/>
        <v>0</v>
      </c>
      <c r="Q91" s="19">
        <f t="shared" si="41"/>
        <v>0</v>
      </c>
      <c r="R91" s="19">
        <f t="shared" si="41"/>
        <v>0</v>
      </c>
      <c r="S91" s="117"/>
      <c r="T91" s="117"/>
    </row>
    <row r="92" spans="1:20" s="23" customFormat="1" ht="15.75" customHeight="1" hidden="1">
      <c r="A92" s="119"/>
      <c r="B92" s="12"/>
      <c r="C92" s="15" t="s">
        <v>303</v>
      </c>
      <c r="D92" s="14">
        <f>SUM(E92:R92)</f>
        <v>0</v>
      </c>
      <c r="E92" s="11"/>
      <c r="F92" s="11"/>
      <c r="G92" s="11"/>
      <c r="H92" s="11"/>
      <c r="I92" s="11"/>
      <c r="J92" s="11"/>
      <c r="K92" s="11"/>
      <c r="L92" s="147"/>
      <c r="M92" s="147"/>
      <c r="N92" s="147"/>
      <c r="O92" s="26"/>
      <c r="P92" s="178"/>
      <c r="Q92" s="147"/>
      <c r="R92" s="56"/>
      <c r="S92" s="117"/>
      <c r="T92" s="117"/>
    </row>
    <row r="93" spans="1:20" s="5" customFormat="1" ht="15.75" customHeight="1">
      <c r="A93" s="118"/>
      <c r="B93" s="277" t="s">
        <v>339</v>
      </c>
      <c r="C93" s="278"/>
      <c r="D93" s="19">
        <f>D94+D95</f>
        <v>1625000</v>
      </c>
      <c r="E93" s="19">
        <f aca="true" t="shared" si="42" ref="E93:R93">E94+E95</f>
        <v>0</v>
      </c>
      <c r="F93" s="19">
        <f t="shared" si="42"/>
        <v>0</v>
      </c>
      <c r="G93" s="19">
        <f t="shared" si="42"/>
        <v>1625000</v>
      </c>
      <c r="H93" s="19">
        <f t="shared" si="42"/>
        <v>0</v>
      </c>
      <c r="I93" s="19">
        <f t="shared" si="42"/>
        <v>0</v>
      </c>
      <c r="J93" s="19">
        <f t="shared" si="42"/>
        <v>0</v>
      </c>
      <c r="K93" s="19">
        <f t="shared" si="42"/>
        <v>0</v>
      </c>
      <c r="L93" s="19">
        <f t="shared" si="42"/>
        <v>0</v>
      </c>
      <c r="M93" s="19">
        <f t="shared" si="42"/>
        <v>0</v>
      </c>
      <c r="N93" s="19">
        <f t="shared" si="42"/>
        <v>0</v>
      </c>
      <c r="O93" s="28">
        <f t="shared" si="42"/>
        <v>0</v>
      </c>
      <c r="P93" s="176">
        <f t="shared" si="42"/>
        <v>0</v>
      </c>
      <c r="Q93" s="19">
        <f t="shared" si="42"/>
        <v>0</v>
      </c>
      <c r="R93" s="19">
        <f t="shared" si="42"/>
        <v>0</v>
      </c>
      <c r="S93" s="117">
        <f aca="true" t="shared" si="43" ref="S93:S109">D93-SUM(E93:R93)</f>
        <v>0</v>
      </c>
      <c r="T93" s="117">
        <f aca="true" t="shared" si="44" ref="T93:T109">D93-SUM(E93:R93)</f>
        <v>0</v>
      </c>
    </row>
    <row r="94" spans="1:20" s="23" customFormat="1" ht="15.75" customHeight="1" hidden="1">
      <c r="A94" s="119"/>
      <c r="B94" s="12"/>
      <c r="C94" s="15" t="s">
        <v>340</v>
      </c>
      <c r="D94" s="14">
        <f>SUM(E94:R94)</f>
        <v>0</v>
      </c>
      <c r="E94" s="11"/>
      <c r="F94" s="11"/>
      <c r="G94" s="11"/>
      <c r="H94" s="11"/>
      <c r="I94" s="11"/>
      <c r="J94" s="11"/>
      <c r="K94" s="11"/>
      <c r="L94" s="147"/>
      <c r="M94" s="147"/>
      <c r="N94" s="147"/>
      <c r="O94" s="26"/>
      <c r="P94" s="178"/>
      <c r="Q94" s="147"/>
      <c r="R94" s="56"/>
      <c r="S94" s="117">
        <f t="shared" si="43"/>
        <v>0</v>
      </c>
      <c r="T94" s="117">
        <f t="shared" si="44"/>
        <v>0</v>
      </c>
    </row>
    <row r="95" spans="1:20" s="23" customFormat="1" ht="15" customHeight="1">
      <c r="A95" s="119"/>
      <c r="B95" s="12"/>
      <c r="C95" s="15" t="s">
        <v>341</v>
      </c>
      <c r="D95" s="14">
        <f>SUM(E95:R95)</f>
        <v>1625000</v>
      </c>
      <c r="E95" s="11"/>
      <c r="F95" s="11"/>
      <c r="G95" s="11">
        <f>'[5]의료급여'!$A$7</f>
        <v>1625000</v>
      </c>
      <c r="H95" s="11"/>
      <c r="I95" s="11"/>
      <c r="J95" s="11"/>
      <c r="K95" s="11"/>
      <c r="L95" s="147"/>
      <c r="M95" s="147"/>
      <c r="N95" s="147"/>
      <c r="O95" s="26"/>
      <c r="P95" s="178"/>
      <c r="Q95" s="147"/>
      <c r="R95" s="56"/>
      <c r="S95" s="117">
        <f t="shared" si="43"/>
        <v>0</v>
      </c>
      <c r="T95" s="117">
        <f t="shared" si="44"/>
        <v>0</v>
      </c>
    </row>
    <row r="96" spans="1:20" s="5" customFormat="1" ht="15.75" customHeight="1">
      <c r="A96" s="118"/>
      <c r="B96" s="277" t="s">
        <v>342</v>
      </c>
      <c r="C96" s="278"/>
      <c r="D96" s="19">
        <f>D97</f>
        <v>-1624000</v>
      </c>
      <c r="E96" s="19">
        <f aca="true" t="shared" si="45" ref="E96:J96">E97</f>
        <v>0</v>
      </c>
      <c r="F96" s="19">
        <f t="shared" si="45"/>
        <v>0</v>
      </c>
      <c r="G96" s="19">
        <f t="shared" si="45"/>
        <v>-1624000</v>
      </c>
      <c r="H96" s="19">
        <f t="shared" si="45"/>
        <v>0</v>
      </c>
      <c r="I96" s="19">
        <f t="shared" si="45"/>
        <v>0</v>
      </c>
      <c r="J96" s="19">
        <f t="shared" si="45"/>
        <v>0</v>
      </c>
      <c r="K96" s="19">
        <f>K97</f>
        <v>0</v>
      </c>
      <c r="L96" s="19">
        <f>L97</f>
        <v>0</v>
      </c>
      <c r="M96" s="19">
        <f aca="true" t="shared" si="46" ref="M96:R96">M97</f>
        <v>0</v>
      </c>
      <c r="N96" s="19">
        <f t="shared" si="46"/>
        <v>0</v>
      </c>
      <c r="O96" s="28">
        <f t="shared" si="46"/>
        <v>0</v>
      </c>
      <c r="P96" s="176">
        <f t="shared" si="46"/>
        <v>0</v>
      </c>
      <c r="Q96" s="19">
        <f t="shared" si="46"/>
        <v>0</v>
      </c>
      <c r="R96" s="19">
        <f t="shared" si="46"/>
        <v>0</v>
      </c>
      <c r="S96" s="117">
        <f t="shared" si="43"/>
        <v>0</v>
      </c>
      <c r="T96" s="117">
        <f t="shared" si="44"/>
        <v>0</v>
      </c>
    </row>
    <row r="97" spans="1:20" s="23" customFormat="1" ht="15.75" customHeight="1">
      <c r="A97" s="119"/>
      <c r="B97" s="12"/>
      <c r="C97" s="15" t="s">
        <v>342</v>
      </c>
      <c r="D97" s="14">
        <f>SUM(E97:R97)</f>
        <v>-1624000</v>
      </c>
      <c r="E97" s="11"/>
      <c r="F97" s="11"/>
      <c r="G97" s="11">
        <f>-'[5]의료급여'!$E$9</f>
        <v>-1624000</v>
      </c>
      <c r="H97" s="11"/>
      <c r="I97" s="11"/>
      <c r="J97" s="11"/>
      <c r="K97" s="11"/>
      <c r="L97" s="147"/>
      <c r="M97" s="147"/>
      <c r="N97" s="147"/>
      <c r="O97" s="26"/>
      <c r="P97" s="178"/>
      <c r="Q97" s="147"/>
      <c r="R97" s="56"/>
      <c r="S97" s="117">
        <f t="shared" si="43"/>
        <v>0</v>
      </c>
      <c r="T97" s="117">
        <f t="shared" si="44"/>
        <v>0</v>
      </c>
    </row>
    <row r="98" spans="1:20" s="5" customFormat="1" ht="15.75" customHeight="1">
      <c r="A98" s="118"/>
      <c r="B98" s="277" t="s">
        <v>268</v>
      </c>
      <c r="C98" s="278"/>
      <c r="D98" s="19">
        <f>D99+D100</f>
        <v>22635360</v>
      </c>
      <c r="E98" s="19">
        <f aca="true" t="shared" si="47" ref="E98:R98">E99+E100</f>
        <v>0</v>
      </c>
      <c r="F98" s="19">
        <f t="shared" si="47"/>
        <v>0</v>
      </c>
      <c r="G98" s="19">
        <f t="shared" si="47"/>
        <v>0</v>
      </c>
      <c r="H98" s="19">
        <f t="shared" si="47"/>
        <v>0</v>
      </c>
      <c r="I98" s="19">
        <f t="shared" si="47"/>
        <v>0</v>
      </c>
      <c r="J98" s="19">
        <f t="shared" si="47"/>
        <v>22635360</v>
      </c>
      <c r="K98" s="19">
        <f t="shared" si="47"/>
        <v>0</v>
      </c>
      <c r="L98" s="19">
        <f t="shared" si="47"/>
        <v>0</v>
      </c>
      <c r="M98" s="19">
        <f t="shared" si="47"/>
        <v>0</v>
      </c>
      <c r="N98" s="19">
        <f t="shared" si="47"/>
        <v>0</v>
      </c>
      <c r="O98" s="28">
        <f t="shared" si="47"/>
        <v>0</v>
      </c>
      <c r="P98" s="176">
        <f t="shared" si="47"/>
        <v>0</v>
      </c>
      <c r="Q98" s="19">
        <f t="shared" si="47"/>
        <v>0</v>
      </c>
      <c r="R98" s="19">
        <f t="shared" si="47"/>
        <v>0</v>
      </c>
      <c r="S98" s="117">
        <f t="shared" si="43"/>
        <v>0</v>
      </c>
      <c r="T98" s="117">
        <f t="shared" si="44"/>
        <v>0</v>
      </c>
    </row>
    <row r="99" spans="1:20" s="23" customFormat="1" ht="15" customHeight="1">
      <c r="A99" s="119"/>
      <c r="B99" s="12"/>
      <c r="C99" s="15" t="s">
        <v>270</v>
      </c>
      <c r="D99" s="14">
        <f>SUM(E99:R99)</f>
        <v>22635360</v>
      </c>
      <c r="E99" s="11"/>
      <c r="F99" s="11"/>
      <c r="G99" s="11"/>
      <c r="H99" s="11"/>
      <c r="I99" s="11"/>
      <c r="J99" s="11">
        <v>22635360</v>
      </c>
      <c r="K99" s="11"/>
      <c r="L99" s="147"/>
      <c r="M99" s="147"/>
      <c r="N99" s="147"/>
      <c r="O99" s="26"/>
      <c r="P99" s="178"/>
      <c r="Q99" s="147"/>
      <c r="R99" s="56"/>
      <c r="S99" s="117">
        <f t="shared" si="43"/>
        <v>0</v>
      </c>
      <c r="T99" s="117">
        <f t="shared" si="44"/>
        <v>0</v>
      </c>
    </row>
    <row r="100" spans="1:20" s="23" customFormat="1" ht="15" customHeight="1" hidden="1">
      <c r="A100" s="119"/>
      <c r="B100" s="12"/>
      <c r="C100" s="15" t="s">
        <v>269</v>
      </c>
      <c r="D100" s="14">
        <f>SUM(E100:R100)</f>
        <v>0</v>
      </c>
      <c r="E100" s="11"/>
      <c r="F100" s="11"/>
      <c r="G100" s="11"/>
      <c r="H100" s="11"/>
      <c r="I100" s="11"/>
      <c r="J100" s="11"/>
      <c r="K100" s="11"/>
      <c r="L100" s="147"/>
      <c r="M100" s="147"/>
      <c r="N100" s="147"/>
      <c r="O100" s="26"/>
      <c r="P100" s="178"/>
      <c r="Q100" s="147"/>
      <c r="R100" s="56"/>
      <c r="S100" s="117"/>
      <c r="T100" s="117"/>
    </row>
    <row r="101" spans="1:20" s="5" customFormat="1" ht="15" customHeight="1" hidden="1">
      <c r="A101" s="118"/>
      <c r="B101" s="277" t="s">
        <v>271</v>
      </c>
      <c r="C101" s="278"/>
      <c r="D101" s="19">
        <f>D102</f>
        <v>0</v>
      </c>
      <c r="E101" s="19">
        <f aca="true" t="shared" si="48" ref="E101:R101">E102</f>
        <v>0</v>
      </c>
      <c r="F101" s="19">
        <f t="shared" si="48"/>
        <v>0</v>
      </c>
      <c r="G101" s="19">
        <f t="shared" si="48"/>
        <v>0</v>
      </c>
      <c r="H101" s="19">
        <f t="shared" si="48"/>
        <v>0</v>
      </c>
      <c r="I101" s="19">
        <f t="shared" si="48"/>
        <v>0</v>
      </c>
      <c r="J101" s="19">
        <f t="shared" si="48"/>
        <v>0</v>
      </c>
      <c r="K101" s="19">
        <f t="shared" si="48"/>
        <v>0</v>
      </c>
      <c r="L101" s="19">
        <f t="shared" si="48"/>
        <v>0</v>
      </c>
      <c r="M101" s="19">
        <f t="shared" si="48"/>
        <v>0</v>
      </c>
      <c r="N101" s="19">
        <f t="shared" si="48"/>
        <v>0</v>
      </c>
      <c r="O101" s="28">
        <f t="shared" si="48"/>
        <v>0</v>
      </c>
      <c r="P101" s="176">
        <f t="shared" si="48"/>
        <v>0</v>
      </c>
      <c r="Q101" s="19">
        <f t="shared" si="48"/>
        <v>0</v>
      </c>
      <c r="R101" s="19">
        <f t="shared" si="48"/>
        <v>0</v>
      </c>
      <c r="S101" s="117"/>
      <c r="T101" s="117"/>
    </row>
    <row r="102" spans="1:20" s="23" customFormat="1" ht="15" customHeight="1" hidden="1">
      <c r="A102" s="119"/>
      <c r="B102" s="12"/>
      <c r="C102" s="15" t="s">
        <v>272</v>
      </c>
      <c r="D102" s="14">
        <f>SUM(E102:R102)</f>
        <v>0</v>
      </c>
      <c r="E102" s="11"/>
      <c r="F102" s="11"/>
      <c r="G102" s="11"/>
      <c r="H102" s="11"/>
      <c r="I102" s="11"/>
      <c r="J102" s="11"/>
      <c r="K102" s="11"/>
      <c r="L102" s="147"/>
      <c r="M102" s="147"/>
      <c r="N102" s="147"/>
      <c r="O102" s="26"/>
      <c r="P102" s="178"/>
      <c r="Q102" s="147"/>
      <c r="R102" s="56"/>
      <c r="S102" s="117"/>
      <c r="T102" s="117"/>
    </row>
    <row r="103" spans="1:20" s="5" customFormat="1" ht="15" customHeight="1">
      <c r="A103" s="118"/>
      <c r="B103" s="277" t="s">
        <v>305</v>
      </c>
      <c r="C103" s="278"/>
      <c r="D103" s="19">
        <f>D104</f>
        <v>395783350</v>
      </c>
      <c r="E103" s="19">
        <f aca="true" t="shared" si="49" ref="E103:R103">E104</f>
        <v>0</v>
      </c>
      <c r="F103" s="19">
        <f t="shared" si="49"/>
        <v>228380830</v>
      </c>
      <c r="G103" s="19">
        <f t="shared" si="49"/>
        <v>0</v>
      </c>
      <c r="H103" s="19">
        <f t="shared" si="49"/>
        <v>0</v>
      </c>
      <c r="I103" s="19">
        <f t="shared" si="49"/>
        <v>0</v>
      </c>
      <c r="J103" s="19">
        <f t="shared" si="49"/>
        <v>167402520</v>
      </c>
      <c r="K103" s="19">
        <f t="shared" si="49"/>
        <v>0</v>
      </c>
      <c r="L103" s="19">
        <f t="shared" si="49"/>
        <v>0</v>
      </c>
      <c r="M103" s="19">
        <f t="shared" si="49"/>
        <v>0</v>
      </c>
      <c r="N103" s="19">
        <f t="shared" si="49"/>
        <v>0</v>
      </c>
      <c r="O103" s="28">
        <f t="shared" si="49"/>
        <v>0</v>
      </c>
      <c r="P103" s="176">
        <f t="shared" si="49"/>
        <v>0</v>
      </c>
      <c r="Q103" s="19">
        <f t="shared" si="49"/>
        <v>0</v>
      </c>
      <c r="R103" s="19">
        <f t="shared" si="49"/>
        <v>0</v>
      </c>
      <c r="S103" s="117"/>
      <c r="T103" s="117"/>
    </row>
    <row r="104" spans="1:20" s="23" customFormat="1" ht="15" customHeight="1">
      <c r="A104" s="119"/>
      <c r="B104" s="12"/>
      <c r="C104" s="15" t="s">
        <v>304</v>
      </c>
      <c r="D104" s="14">
        <f>SUM(E104:R104)</f>
        <v>395783350</v>
      </c>
      <c r="E104" s="11"/>
      <c r="F104" s="11">
        <f>'[4]토지구획정리'!$A$11</f>
        <v>228380830</v>
      </c>
      <c r="G104" s="11"/>
      <c r="H104" s="11"/>
      <c r="I104" s="11"/>
      <c r="J104" s="11">
        <f>'[8]발전소주변지역'!$A$11+10350000+26750000</f>
        <v>167402520</v>
      </c>
      <c r="K104" s="11"/>
      <c r="L104" s="147"/>
      <c r="M104" s="147"/>
      <c r="N104" s="147"/>
      <c r="O104" s="26"/>
      <c r="P104" s="178"/>
      <c r="Q104" s="147"/>
      <c r="R104" s="56"/>
      <c r="S104" s="117"/>
      <c r="T104" s="117"/>
    </row>
    <row r="105" spans="1:20" s="23" customFormat="1" ht="15.75" customHeight="1">
      <c r="A105" s="119"/>
      <c r="B105" s="12"/>
      <c r="C105" s="15"/>
      <c r="D105" s="14">
        <f>SUM(E105:K105)</f>
        <v>0</v>
      </c>
      <c r="E105" s="11"/>
      <c r="F105" s="11"/>
      <c r="G105" s="11"/>
      <c r="H105" s="11"/>
      <c r="I105" s="11"/>
      <c r="J105" s="11"/>
      <c r="K105" s="11"/>
      <c r="L105" s="147"/>
      <c r="M105" s="147"/>
      <c r="N105" s="147"/>
      <c r="O105" s="26"/>
      <c r="P105" s="178"/>
      <c r="Q105" s="147"/>
      <c r="R105" s="56"/>
      <c r="S105" s="117">
        <f t="shared" si="43"/>
        <v>0</v>
      </c>
      <c r="T105" s="117">
        <f t="shared" si="44"/>
        <v>0</v>
      </c>
    </row>
    <row r="106" spans="1:20" s="5" customFormat="1" ht="15.75" customHeight="1">
      <c r="A106" s="276" t="s">
        <v>72</v>
      </c>
      <c r="B106" s="277"/>
      <c r="C106" s="278"/>
      <c r="D106" s="19">
        <f>D107+D115+D118+D120+D123+D126+D138+D110+D113+D133+D136+D128+D131</f>
        <v>6927440470</v>
      </c>
      <c r="E106" s="19">
        <f aca="true" t="shared" si="50" ref="E106:R106">E107+E115+E118+E120+E123+E126+E138+E110+E113+E133+E136+E128+E131</f>
        <v>0</v>
      </c>
      <c r="F106" s="19">
        <f t="shared" si="50"/>
        <v>0</v>
      </c>
      <c r="G106" s="19">
        <f t="shared" si="50"/>
        <v>0</v>
      </c>
      <c r="H106" s="19">
        <f t="shared" si="50"/>
        <v>0</v>
      </c>
      <c r="I106" s="19">
        <f t="shared" si="50"/>
        <v>0</v>
      </c>
      <c r="J106" s="19">
        <f t="shared" si="50"/>
        <v>379282601</v>
      </c>
      <c r="K106" s="19">
        <f t="shared" si="50"/>
        <v>0</v>
      </c>
      <c r="L106" s="19">
        <f t="shared" si="50"/>
        <v>6318679667</v>
      </c>
      <c r="M106" s="19">
        <f t="shared" si="50"/>
        <v>229478202</v>
      </c>
      <c r="N106" s="19">
        <f t="shared" si="50"/>
        <v>0</v>
      </c>
      <c r="O106" s="28">
        <f t="shared" si="50"/>
        <v>0</v>
      </c>
      <c r="P106" s="176">
        <f t="shared" si="50"/>
        <v>0</v>
      </c>
      <c r="Q106" s="19">
        <f t="shared" si="50"/>
        <v>0</v>
      </c>
      <c r="R106" s="19">
        <f t="shared" si="50"/>
        <v>0</v>
      </c>
      <c r="S106" s="117">
        <f t="shared" si="43"/>
        <v>0</v>
      </c>
      <c r="T106" s="117">
        <f t="shared" si="44"/>
        <v>0</v>
      </c>
    </row>
    <row r="107" spans="1:20" s="5" customFormat="1" ht="15.75" customHeight="1">
      <c r="A107" s="27"/>
      <c r="B107" s="121" t="s">
        <v>168</v>
      </c>
      <c r="C107" s="121"/>
      <c r="D107" s="19">
        <f>D109+D108</f>
        <v>26439540</v>
      </c>
      <c r="E107" s="19">
        <f aca="true" t="shared" si="51" ref="E107:R107">E109+E108</f>
        <v>0</v>
      </c>
      <c r="F107" s="19">
        <f t="shared" si="51"/>
        <v>0</v>
      </c>
      <c r="G107" s="19">
        <f t="shared" si="51"/>
        <v>0</v>
      </c>
      <c r="H107" s="19">
        <f t="shared" si="51"/>
        <v>0</v>
      </c>
      <c r="I107" s="19">
        <f t="shared" si="51"/>
        <v>0</v>
      </c>
      <c r="J107" s="19">
        <f t="shared" si="51"/>
        <v>19839540</v>
      </c>
      <c r="K107" s="19">
        <f t="shared" si="51"/>
        <v>0</v>
      </c>
      <c r="L107" s="19">
        <f t="shared" si="51"/>
        <v>6600000</v>
      </c>
      <c r="M107" s="19">
        <f t="shared" si="51"/>
        <v>0</v>
      </c>
      <c r="N107" s="19">
        <f t="shared" si="51"/>
        <v>0</v>
      </c>
      <c r="O107" s="28">
        <f t="shared" si="51"/>
        <v>0</v>
      </c>
      <c r="P107" s="176">
        <f t="shared" si="51"/>
        <v>0</v>
      </c>
      <c r="Q107" s="19">
        <f t="shared" si="51"/>
        <v>0</v>
      </c>
      <c r="R107" s="19">
        <f t="shared" si="51"/>
        <v>0</v>
      </c>
      <c r="S107" s="117">
        <f t="shared" si="43"/>
        <v>0</v>
      </c>
      <c r="T107" s="117">
        <f t="shared" si="44"/>
        <v>0</v>
      </c>
    </row>
    <row r="108" spans="1:20" s="23" customFormat="1" ht="15.75" customHeight="1" hidden="1">
      <c r="A108" s="76"/>
      <c r="B108" s="122"/>
      <c r="C108" s="122" t="s">
        <v>320</v>
      </c>
      <c r="D108" s="14">
        <f>SUM(E108:R108)</f>
        <v>0</v>
      </c>
      <c r="E108" s="14"/>
      <c r="F108" s="14"/>
      <c r="G108" s="14"/>
      <c r="H108" s="14"/>
      <c r="I108" s="14"/>
      <c r="J108" s="14"/>
      <c r="K108" s="14"/>
      <c r="L108" s="142"/>
      <c r="M108" s="142"/>
      <c r="N108" s="142"/>
      <c r="O108" s="196"/>
      <c r="P108" s="180"/>
      <c r="Q108" s="142"/>
      <c r="R108" s="142"/>
      <c r="S108" s="141"/>
      <c r="T108" s="141"/>
    </row>
    <row r="109" spans="1:20" s="23" customFormat="1" ht="15.75" customHeight="1">
      <c r="A109" s="76"/>
      <c r="B109" s="122"/>
      <c r="C109" s="122" t="s">
        <v>249</v>
      </c>
      <c r="D109" s="14">
        <f>SUM(E109:R109)</f>
        <v>26439540</v>
      </c>
      <c r="E109" s="11"/>
      <c r="F109" s="11"/>
      <c r="G109" s="11"/>
      <c r="H109" s="11"/>
      <c r="I109" s="11"/>
      <c r="J109" s="11">
        <f>10094000+9745540</f>
        <v>19839540</v>
      </c>
      <c r="K109" s="11"/>
      <c r="L109" s="147">
        <f>'[10]농공단지'!$A$18</f>
        <v>6600000</v>
      </c>
      <c r="M109" s="147"/>
      <c r="N109" s="147"/>
      <c r="O109" s="26"/>
      <c r="P109" s="178"/>
      <c r="Q109" s="147"/>
      <c r="R109" s="56"/>
      <c r="S109" s="117">
        <f t="shared" si="43"/>
        <v>0</v>
      </c>
      <c r="T109" s="117">
        <f t="shared" si="44"/>
        <v>0</v>
      </c>
    </row>
    <row r="110" spans="1:20" s="5" customFormat="1" ht="15.75" customHeight="1" hidden="1">
      <c r="A110" s="27"/>
      <c r="B110" s="279" t="s">
        <v>253</v>
      </c>
      <c r="C110" s="280"/>
      <c r="D110" s="19">
        <f>D111+D112</f>
        <v>0</v>
      </c>
      <c r="E110" s="19">
        <f aca="true" t="shared" si="52" ref="E110:R110">E111+E112</f>
        <v>0</v>
      </c>
      <c r="F110" s="19">
        <f t="shared" si="52"/>
        <v>0</v>
      </c>
      <c r="G110" s="19">
        <f t="shared" si="52"/>
        <v>0</v>
      </c>
      <c r="H110" s="19">
        <f t="shared" si="52"/>
        <v>0</v>
      </c>
      <c r="I110" s="19">
        <f t="shared" si="52"/>
        <v>0</v>
      </c>
      <c r="J110" s="19">
        <f t="shared" si="52"/>
        <v>0</v>
      </c>
      <c r="K110" s="19">
        <f t="shared" si="52"/>
        <v>0</v>
      </c>
      <c r="L110" s="19">
        <f t="shared" si="52"/>
        <v>0</v>
      </c>
      <c r="M110" s="19">
        <f t="shared" si="52"/>
        <v>0</v>
      </c>
      <c r="N110" s="19">
        <f t="shared" si="52"/>
        <v>0</v>
      </c>
      <c r="O110" s="28">
        <f t="shared" si="52"/>
        <v>0</v>
      </c>
      <c r="P110" s="176">
        <f t="shared" si="52"/>
        <v>0</v>
      </c>
      <c r="Q110" s="19">
        <f t="shared" si="52"/>
        <v>0</v>
      </c>
      <c r="R110" s="19">
        <f t="shared" si="52"/>
        <v>0</v>
      </c>
      <c r="S110" s="117"/>
      <c r="T110" s="117"/>
    </row>
    <row r="111" spans="1:20" s="23" customFormat="1" ht="15.75" customHeight="1" hidden="1">
      <c r="A111" s="76"/>
      <c r="B111" s="122"/>
      <c r="C111" s="122" t="s">
        <v>250</v>
      </c>
      <c r="D111" s="14">
        <f>SUM(E111:R111)</f>
        <v>0</v>
      </c>
      <c r="E111" s="11"/>
      <c r="F111" s="11"/>
      <c r="G111" s="11"/>
      <c r="H111" s="11"/>
      <c r="I111" s="11"/>
      <c r="J111" s="11"/>
      <c r="K111" s="11"/>
      <c r="L111" s="147"/>
      <c r="M111" s="147"/>
      <c r="N111" s="147"/>
      <c r="O111" s="26"/>
      <c r="P111" s="178"/>
      <c r="Q111" s="147"/>
      <c r="R111" s="56"/>
      <c r="S111" s="117"/>
      <c r="T111" s="117"/>
    </row>
    <row r="112" spans="1:20" s="23" customFormat="1" ht="15.75" customHeight="1" hidden="1">
      <c r="A112" s="76"/>
      <c r="B112" s="122"/>
      <c r="C112" s="122" t="s">
        <v>251</v>
      </c>
      <c r="D112" s="14">
        <f>SUM(E112:R112)</f>
        <v>0</v>
      </c>
      <c r="E112" s="11"/>
      <c r="F112" s="11"/>
      <c r="G112" s="11"/>
      <c r="H112" s="11"/>
      <c r="I112" s="11"/>
      <c r="J112" s="11"/>
      <c r="K112" s="11"/>
      <c r="L112" s="147"/>
      <c r="M112" s="147"/>
      <c r="N112" s="147"/>
      <c r="O112" s="26"/>
      <c r="P112" s="178"/>
      <c r="Q112" s="147"/>
      <c r="R112" s="56"/>
      <c r="S112" s="117"/>
      <c r="T112" s="117"/>
    </row>
    <row r="113" spans="1:20" s="5" customFormat="1" ht="15.75" customHeight="1" hidden="1">
      <c r="A113" s="27"/>
      <c r="B113" s="279" t="s">
        <v>252</v>
      </c>
      <c r="C113" s="280"/>
      <c r="D113" s="19">
        <f>D114</f>
        <v>0</v>
      </c>
      <c r="E113" s="19">
        <f aca="true" t="shared" si="53" ref="E113:R113">E114</f>
        <v>0</v>
      </c>
      <c r="F113" s="19">
        <f t="shared" si="53"/>
        <v>0</v>
      </c>
      <c r="G113" s="19">
        <f t="shared" si="53"/>
        <v>0</v>
      </c>
      <c r="H113" s="19">
        <f t="shared" si="53"/>
        <v>0</v>
      </c>
      <c r="I113" s="19">
        <f t="shared" si="53"/>
        <v>0</v>
      </c>
      <c r="J113" s="19">
        <f t="shared" si="53"/>
        <v>0</v>
      </c>
      <c r="K113" s="19">
        <f t="shared" si="53"/>
        <v>0</v>
      </c>
      <c r="L113" s="19">
        <f t="shared" si="53"/>
        <v>0</v>
      </c>
      <c r="M113" s="19">
        <f t="shared" si="53"/>
        <v>0</v>
      </c>
      <c r="N113" s="19">
        <f t="shared" si="53"/>
        <v>0</v>
      </c>
      <c r="O113" s="28">
        <f t="shared" si="53"/>
        <v>0</v>
      </c>
      <c r="P113" s="176">
        <f t="shared" si="53"/>
        <v>0</v>
      </c>
      <c r="Q113" s="19">
        <f t="shared" si="53"/>
        <v>0</v>
      </c>
      <c r="R113" s="19">
        <f t="shared" si="53"/>
        <v>0</v>
      </c>
      <c r="S113" s="117"/>
      <c r="T113" s="117"/>
    </row>
    <row r="114" spans="1:20" s="23" customFormat="1" ht="15.75" customHeight="1" hidden="1">
      <c r="A114" s="76"/>
      <c r="B114" s="122"/>
      <c r="C114" s="122" t="s">
        <v>252</v>
      </c>
      <c r="D114" s="14">
        <f>SUM(E114:R114)</f>
        <v>0</v>
      </c>
      <c r="E114" s="11"/>
      <c r="F114" s="11"/>
      <c r="G114" s="11"/>
      <c r="H114" s="11"/>
      <c r="I114" s="11"/>
      <c r="J114" s="11"/>
      <c r="K114" s="11"/>
      <c r="L114" s="147"/>
      <c r="M114" s="147"/>
      <c r="N114" s="147"/>
      <c r="O114" s="26"/>
      <c r="P114" s="178"/>
      <c r="Q114" s="147"/>
      <c r="R114" s="56"/>
      <c r="S114" s="117"/>
      <c r="T114" s="117"/>
    </row>
    <row r="115" spans="1:20" s="5" customFormat="1" ht="15.75" customHeight="1" hidden="1">
      <c r="A115" s="118"/>
      <c r="B115" s="121" t="s">
        <v>172</v>
      </c>
      <c r="C115" s="121"/>
      <c r="D115" s="19">
        <f>D116+D117</f>
        <v>0</v>
      </c>
      <c r="E115" s="19">
        <f aca="true" t="shared" si="54" ref="E115:R115">E116+E117</f>
        <v>0</v>
      </c>
      <c r="F115" s="19">
        <f t="shared" si="54"/>
        <v>0</v>
      </c>
      <c r="G115" s="19">
        <f t="shared" si="54"/>
        <v>0</v>
      </c>
      <c r="H115" s="19">
        <f t="shared" si="54"/>
        <v>0</v>
      </c>
      <c r="I115" s="19">
        <f t="shared" si="54"/>
        <v>0</v>
      </c>
      <c r="J115" s="19">
        <f t="shared" si="54"/>
        <v>0</v>
      </c>
      <c r="K115" s="19">
        <f t="shared" si="54"/>
        <v>0</v>
      </c>
      <c r="L115" s="19">
        <f t="shared" si="54"/>
        <v>0</v>
      </c>
      <c r="M115" s="19">
        <f t="shared" si="54"/>
        <v>0</v>
      </c>
      <c r="N115" s="19">
        <f t="shared" si="54"/>
        <v>0</v>
      </c>
      <c r="O115" s="28">
        <f t="shared" si="54"/>
        <v>0</v>
      </c>
      <c r="P115" s="176">
        <f t="shared" si="54"/>
        <v>0</v>
      </c>
      <c r="Q115" s="19">
        <f t="shared" si="54"/>
        <v>0</v>
      </c>
      <c r="R115" s="19">
        <f t="shared" si="54"/>
        <v>0</v>
      </c>
      <c r="S115" s="117">
        <f aca="true" t="shared" si="55" ref="S115:S127">D115-SUM(E115:R115)</f>
        <v>0</v>
      </c>
      <c r="T115" s="117">
        <f aca="true" t="shared" si="56" ref="T115:T127">D115-SUM(E115:R115)</f>
        <v>0</v>
      </c>
    </row>
    <row r="116" spans="1:20" s="23" customFormat="1" ht="15.75" customHeight="1" hidden="1">
      <c r="A116" s="119"/>
      <c r="B116" s="122"/>
      <c r="C116" s="122" t="s">
        <v>138</v>
      </c>
      <c r="D116" s="14">
        <f>SUM(E116:R116)</f>
        <v>0</v>
      </c>
      <c r="E116" s="11"/>
      <c r="F116" s="11"/>
      <c r="G116" s="11"/>
      <c r="H116" s="11"/>
      <c r="I116" s="11"/>
      <c r="J116" s="11"/>
      <c r="K116" s="71"/>
      <c r="L116" s="146"/>
      <c r="M116" s="146"/>
      <c r="N116" s="146"/>
      <c r="O116" s="75"/>
      <c r="P116" s="177"/>
      <c r="Q116" s="146"/>
      <c r="R116" s="56"/>
      <c r="S116" s="117">
        <f t="shared" si="55"/>
        <v>0</v>
      </c>
      <c r="T116" s="117">
        <f t="shared" si="56"/>
        <v>0</v>
      </c>
    </row>
    <row r="117" spans="1:20" s="23" customFormat="1" ht="15.75" customHeight="1" hidden="1">
      <c r="A117" s="119"/>
      <c r="B117" s="12"/>
      <c r="C117" s="15" t="s">
        <v>139</v>
      </c>
      <c r="D117" s="14">
        <f>SUM(E117:R117)</f>
        <v>0</v>
      </c>
      <c r="E117" s="11"/>
      <c r="F117" s="11"/>
      <c r="G117" s="11"/>
      <c r="H117" s="11"/>
      <c r="I117" s="11"/>
      <c r="J117" s="11"/>
      <c r="K117" s="71"/>
      <c r="L117" s="146"/>
      <c r="M117" s="146"/>
      <c r="N117" s="146"/>
      <c r="O117" s="75"/>
      <c r="P117" s="177"/>
      <c r="Q117" s="146"/>
      <c r="R117" s="56"/>
      <c r="S117" s="117">
        <f t="shared" si="55"/>
        <v>0</v>
      </c>
      <c r="T117" s="117">
        <f t="shared" si="56"/>
        <v>0</v>
      </c>
    </row>
    <row r="118" spans="1:20" s="5" customFormat="1" ht="15.75" customHeight="1" hidden="1">
      <c r="A118" s="118"/>
      <c r="B118" s="121" t="s">
        <v>169</v>
      </c>
      <c r="C118" s="93"/>
      <c r="D118" s="19">
        <f>D119</f>
        <v>0</v>
      </c>
      <c r="E118" s="19">
        <f aca="true" t="shared" si="57" ref="E118:R118">E119</f>
        <v>0</v>
      </c>
      <c r="F118" s="19">
        <f t="shared" si="57"/>
        <v>0</v>
      </c>
      <c r="G118" s="19">
        <f t="shared" si="57"/>
        <v>0</v>
      </c>
      <c r="H118" s="19">
        <f t="shared" si="57"/>
        <v>0</v>
      </c>
      <c r="I118" s="19">
        <f t="shared" si="57"/>
        <v>0</v>
      </c>
      <c r="J118" s="19">
        <f t="shared" si="57"/>
        <v>0</v>
      </c>
      <c r="K118" s="19">
        <f t="shared" si="57"/>
        <v>0</v>
      </c>
      <c r="L118" s="19">
        <f t="shared" si="57"/>
        <v>0</v>
      </c>
      <c r="M118" s="19">
        <f t="shared" si="57"/>
        <v>0</v>
      </c>
      <c r="N118" s="19">
        <f t="shared" si="57"/>
        <v>0</v>
      </c>
      <c r="O118" s="28">
        <f t="shared" si="57"/>
        <v>0</v>
      </c>
      <c r="P118" s="176">
        <f t="shared" si="57"/>
        <v>0</v>
      </c>
      <c r="Q118" s="19">
        <f t="shared" si="57"/>
        <v>0</v>
      </c>
      <c r="R118" s="19">
        <f t="shared" si="57"/>
        <v>0</v>
      </c>
      <c r="S118" s="117">
        <f t="shared" si="55"/>
        <v>0</v>
      </c>
      <c r="T118" s="117">
        <f t="shared" si="56"/>
        <v>0</v>
      </c>
    </row>
    <row r="119" spans="1:20" s="23" customFormat="1" ht="15.75" customHeight="1" hidden="1">
      <c r="A119" s="119"/>
      <c r="B119" s="12"/>
      <c r="C119" s="15" t="s">
        <v>2</v>
      </c>
      <c r="D119" s="14">
        <f>SUM(E119:R119)</f>
        <v>0</v>
      </c>
      <c r="E119" s="11"/>
      <c r="F119" s="11"/>
      <c r="G119" s="11"/>
      <c r="H119" s="11"/>
      <c r="I119" s="11"/>
      <c r="J119" s="11"/>
      <c r="K119" s="71"/>
      <c r="L119" s="146"/>
      <c r="M119" s="146"/>
      <c r="N119" s="146"/>
      <c r="O119" s="75"/>
      <c r="P119" s="177"/>
      <c r="Q119" s="146"/>
      <c r="R119" s="56"/>
      <c r="S119" s="117">
        <f t="shared" si="55"/>
        <v>0</v>
      </c>
      <c r="T119" s="117">
        <f t="shared" si="56"/>
        <v>0</v>
      </c>
    </row>
    <row r="120" spans="1:20" s="5" customFormat="1" ht="15.75" customHeight="1" hidden="1">
      <c r="A120" s="118"/>
      <c r="B120" s="121" t="s">
        <v>170</v>
      </c>
      <c r="C120" s="121"/>
      <c r="D120" s="19">
        <f>D121+D122</f>
        <v>0</v>
      </c>
      <c r="E120" s="19">
        <f aca="true" t="shared" si="58" ref="E120:R120">E121+E122</f>
        <v>0</v>
      </c>
      <c r="F120" s="19">
        <f t="shared" si="58"/>
        <v>0</v>
      </c>
      <c r="G120" s="19">
        <f t="shared" si="58"/>
        <v>0</v>
      </c>
      <c r="H120" s="19">
        <f t="shared" si="58"/>
        <v>0</v>
      </c>
      <c r="I120" s="19">
        <f t="shared" si="58"/>
        <v>0</v>
      </c>
      <c r="J120" s="19">
        <f t="shared" si="58"/>
        <v>0</v>
      </c>
      <c r="K120" s="19">
        <f t="shared" si="58"/>
        <v>0</v>
      </c>
      <c r="L120" s="19">
        <f t="shared" si="58"/>
        <v>0</v>
      </c>
      <c r="M120" s="19">
        <f t="shared" si="58"/>
        <v>0</v>
      </c>
      <c r="N120" s="19">
        <f t="shared" si="58"/>
        <v>0</v>
      </c>
      <c r="O120" s="28">
        <f t="shared" si="58"/>
        <v>0</v>
      </c>
      <c r="P120" s="176">
        <f t="shared" si="58"/>
        <v>0</v>
      </c>
      <c r="Q120" s="19">
        <f t="shared" si="58"/>
        <v>0</v>
      </c>
      <c r="R120" s="19">
        <f t="shared" si="58"/>
        <v>0</v>
      </c>
      <c r="S120" s="117">
        <f t="shared" si="55"/>
        <v>0</v>
      </c>
      <c r="T120" s="117">
        <f t="shared" si="56"/>
        <v>0</v>
      </c>
    </row>
    <row r="121" spans="1:20" s="23" customFormat="1" ht="15.75" customHeight="1" hidden="1">
      <c r="A121" s="119"/>
      <c r="B121" s="122"/>
      <c r="C121" s="122" t="s">
        <v>148</v>
      </c>
      <c r="D121" s="14">
        <f>SUM(E121:R121)</f>
        <v>0</v>
      </c>
      <c r="E121" s="11"/>
      <c r="F121" s="11"/>
      <c r="G121" s="11"/>
      <c r="H121" s="11"/>
      <c r="I121" s="11"/>
      <c r="J121" s="11"/>
      <c r="K121" s="71"/>
      <c r="L121" s="146"/>
      <c r="M121" s="146"/>
      <c r="N121" s="146"/>
      <c r="O121" s="75"/>
      <c r="P121" s="177"/>
      <c r="Q121" s="146"/>
      <c r="R121" s="56"/>
      <c r="S121" s="117">
        <f t="shared" si="55"/>
        <v>0</v>
      </c>
      <c r="T121" s="117">
        <f t="shared" si="56"/>
        <v>0</v>
      </c>
    </row>
    <row r="122" spans="1:20" s="23" customFormat="1" ht="15.75" customHeight="1" hidden="1">
      <c r="A122" s="119"/>
      <c r="B122" s="12"/>
      <c r="C122" s="15" t="s">
        <v>149</v>
      </c>
      <c r="D122" s="14">
        <f>SUM(E122:R122)</f>
        <v>0</v>
      </c>
      <c r="E122" s="11"/>
      <c r="F122" s="11"/>
      <c r="G122" s="11"/>
      <c r="H122" s="11"/>
      <c r="I122" s="11"/>
      <c r="J122" s="11"/>
      <c r="K122" s="71"/>
      <c r="L122" s="146"/>
      <c r="M122" s="146"/>
      <c r="N122" s="146"/>
      <c r="O122" s="75"/>
      <c r="P122" s="177"/>
      <c r="Q122" s="146"/>
      <c r="R122" s="56"/>
      <c r="S122" s="117">
        <f t="shared" si="55"/>
        <v>0</v>
      </c>
      <c r="T122" s="117">
        <f t="shared" si="56"/>
        <v>0</v>
      </c>
    </row>
    <row r="123" spans="1:20" s="5" customFormat="1" ht="15.75" customHeight="1">
      <c r="A123" s="118"/>
      <c r="B123" s="121" t="s">
        <v>254</v>
      </c>
      <c r="C123" s="121"/>
      <c r="D123" s="19">
        <f>D124+D125</f>
        <v>5910010430</v>
      </c>
      <c r="E123" s="19">
        <f aca="true" t="shared" si="59" ref="E123:R123">E124+E125</f>
        <v>0</v>
      </c>
      <c r="F123" s="19">
        <f t="shared" si="59"/>
        <v>0</v>
      </c>
      <c r="G123" s="19">
        <f t="shared" si="59"/>
        <v>0</v>
      </c>
      <c r="H123" s="19">
        <f t="shared" si="59"/>
        <v>0</v>
      </c>
      <c r="I123" s="19">
        <f t="shared" si="59"/>
        <v>0</v>
      </c>
      <c r="J123" s="19">
        <f t="shared" si="59"/>
        <v>9125230</v>
      </c>
      <c r="K123" s="19">
        <f t="shared" si="59"/>
        <v>0</v>
      </c>
      <c r="L123" s="19">
        <f t="shared" si="59"/>
        <v>5895620900</v>
      </c>
      <c r="M123" s="19">
        <f t="shared" si="59"/>
        <v>5264300</v>
      </c>
      <c r="N123" s="19">
        <f t="shared" si="59"/>
        <v>0</v>
      </c>
      <c r="O123" s="28">
        <f t="shared" si="59"/>
        <v>0</v>
      </c>
      <c r="P123" s="176">
        <f t="shared" si="59"/>
        <v>0</v>
      </c>
      <c r="Q123" s="19">
        <f t="shared" si="59"/>
        <v>0</v>
      </c>
      <c r="R123" s="19">
        <f t="shared" si="59"/>
        <v>0</v>
      </c>
      <c r="S123" s="117">
        <f t="shared" si="55"/>
        <v>0</v>
      </c>
      <c r="T123" s="117">
        <f t="shared" si="56"/>
        <v>0</v>
      </c>
    </row>
    <row r="124" spans="1:20" s="23" customFormat="1" ht="15.75" customHeight="1">
      <c r="A124" s="119"/>
      <c r="B124" s="122"/>
      <c r="C124" s="122" t="s">
        <v>255</v>
      </c>
      <c r="D124" s="14">
        <f>SUM(E124:R124)</f>
        <v>5104639100</v>
      </c>
      <c r="E124" s="11"/>
      <c r="F124" s="11"/>
      <c r="G124" s="11"/>
      <c r="H124" s="11"/>
      <c r="I124" s="11"/>
      <c r="J124" s="11"/>
      <c r="K124" s="71"/>
      <c r="L124" s="146">
        <f>'[10]농공단지'!$A$20</f>
        <v>5104639100</v>
      </c>
      <c r="M124" s="146"/>
      <c r="N124" s="146"/>
      <c r="O124" s="75"/>
      <c r="P124" s="177"/>
      <c r="Q124" s="146"/>
      <c r="R124" s="56"/>
      <c r="S124" s="117">
        <f t="shared" si="55"/>
        <v>0</v>
      </c>
      <c r="T124" s="117">
        <f t="shared" si="56"/>
        <v>0</v>
      </c>
    </row>
    <row r="125" spans="1:20" s="23" customFormat="1" ht="15.75" customHeight="1">
      <c r="A125" s="119"/>
      <c r="B125" s="12"/>
      <c r="C125" s="15" t="s">
        <v>256</v>
      </c>
      <c r="D125" s="14">
        <f>SUM(E125:R125)</f>
        <v>805371330</v>
      </c>
      <c r="E125" s="11"/>
      <c r="F125" s="11"/>
      <c r="G125" s="11"/>
      <c r="H125" s="11"/>
      <c r="I125" s="11"/>
      <c r="J125" s="11">
        <v>9125230</v>
      </c>
      <c r="K125" s="71"/>
      <c r="L125" s="146">
        <f>'[10]농공단지'!$A$21</f>
        <v>790981800</v>
      </c>
      <c r="M125" s="146">
        <v>5264300</v>
      </c>
      <c r="N125" s="146"/>
      <c r="O125" s="75"/>
      <c r="P125" s="177"/>
      <c r="Q125" s="146"/>
      <c r="R125" s="56"/>
      <c r="S125" s="117">
        <f t="shared" si="55"/>
        <v>0</v>
      </c>
      <c r="T125" s="117">
        <f t="shared" si="56"/>
        <v>0</v>
      </c>
    </row>
    <row r="126" spans="1:20" s="5" customFormat="1" ht="15.75" customHeight="1">
      <c r="A126" s="118"/>
      <c r="B126" s="121" t="s">
        <v>257</v>
      </c>
      <c r="C126" s="93"/>
      <c r="D126" s="19">
        <f>D127</f>
        <v>-561540033</v>
      </c>
      <c r="E126" s="19">
        <f aca="true" t="shared" si="60" ref="E126:J126">E127</f>
        <v>0</v>
      </c>
      <c r="F126" s="19">
        <f t="shared" si="60"/>
        <v>0</v>
      </c>
      <c r="G126" s="19">
        <f t="shared" si="60"/>
        <v>0</v>
      </c>
      <c r="H126" s="19">
        <f t="shared" si="60"/>
        <v>0</v>
      </c>
      <c r="I126" s="19">
        <f t="shared" si="60"/>
        <v>0</v>
      </c>
      <c r="J126" s="19">
        <f t="shared" si="60"/>
        <v>-228102</v>
      </c>
      <c r="K126" s="19">
        <f aca="true" t="shared" si="61" ref="K126:R126">K127</f>
        <v>0</v>
      </c>
      <c r="L126" s="19">
        <f t="shared" si="61"/>
        <v>-560816193</v>
      </c>
      <c r="M126" s="19">
        <f t="shared" si="61"/>
        <v>-495738</v>
      </c>
      <c r="N126" s="19">
        <f t="shared" si="61"/>
        <v>0</v>
      </c>
      <c r="O126" s="28">
        <f t="shared" si="61"/>
        <v>0</v>
      </c>
      <c r="P126" s="176">
        <f t="shared" si="61"/>
        <v>0</v>
      </c>
      <c r="Q126" s="19">
        <f t="shared" si="61"/>
        <v>0</v>
      </c>
      <c r="R126" s="19">
        <f t="shared" si="61"/>
        <v>0</v>
      </c>
      <c r="S126" s="117">
        <f t="shared" si="55"/>
        <v>0</v>
      </c>
      <c r="T126" s="117">
        <f t="shared" si="56"/>
        <v>0</v>
      </c>
    </row>
    <row r="127" spans="1:20" s="23" customFormat="1" ht="15.75" customHeight="1">
      <c r="A127" s="119"/>
      <c r="B127" s="12"/>
      <c r="C127" s="15" t="s">
        <v>257</v>
      </c>
      <c r="D127" s="14">
        <f>SUM(E127:R127)</f>
        <v>-561540033</v>
      </c>
      <c r="E127" s="11"/>
      <c r="F127" s="11"/>
      <c r="G127" s="11"/>
      <c r="H127" s="11"/>
      <c r="I127" s="11"/>
      <c r="J127" s="14">
        <f>-'[17]감가상각 및 무형자산 상각'!$J$40</f>
        <v>-228102</v>
      </c>
      <c r="K127" s="71"/>
      <c r="L127" s="147">
        <f>-'[10]농공단지'!$E$23-39548890</f>
        <v>-560816193</v>
      </c>
      <c r="M127" s="142">
        <f>-'[17]감가상각 및 무형자산 상각'!$J$43</f>
        <v>-495738</v>
      </c>
      <c r="N127" s="146"/>
      <c r="O127" s="75"/>
      <c r="P127" s="177"/>
      <c r="Q127" s="146"/>
      <c r="R127" s="56"/>
      <c r="S127" s="117">
        <f t="shared" si="55"/>
        <v>0</v>
      </c>
      <c r="T127" s="117">
        <f t="shared" si="56"/>
        <v>0</v>
      </c>
    </row>
    <row r="128" spans="1:20" s="5" customFormat="1" ht="15.75" customHeight="1">
      <c r="A128" s="118"/>
      <c r="B128" s="277" t="s">
        <v>309</v>
      </c>
      <c r="C128" s="278"/>
      <c r="D128" s="19">
        <f>D129+D130</f>
        <v>9800000</v>
      </c>
      <c r="E128" s="19">
        <f aca="true" t="shared" si="62" ref="E128:R128">E129+E130</f>
        <v>0</v>
      </c>
      <c r="F128" s="19">
        <f t="shared" si="62"/>
        <v>0</v>
      </c>
      <c r="G128" s="19">
        <f t="shared" si="62"/>
        <v>0</v>
      </c>
      <c r="H128" s="19">
        <f t="shared" si="62"/>
        <v>0</v>
      </c>
      <c r="I128" s="19">
        <f t="shared" si="62"/>
        <v>0</v>
      </c>
      <c r="J128" s="19">
        <f t="shared" si="62"/>
        <v>9800000</v>
      </c>
      <c r="K128" s="19">
        <f t="shared" si="62"/>
        <v>0</v>
      </c>
      <c r="L128" s="19">
        <f t="shared" si="62"/>
        <v>0</v>
      </c>
      <c r="M128" s="19">
        <f t="shared" si="62"/>
        <v>0</v>
      </c>
      <c r="N128" s="19">
        <f t="shared" si="62"/>
        <v>0</v>
      </c>
      <c r="O128" s="28">
        <f t="shared" si="62"/>
        <v>0</v>
      </c>
      <c r="P128" s="176">
        <f t="shared" si="62"/>
        <v>0</v>
      </c>
      <c r="Q128" s="19">
        <f t="shared" si="62"/>
        <v>0</v>
      </c>
      <c r="R128" s="19">
        <f t="shared" si="62"/>
        <v>0</v>
      </c>
      <c r="S128" s="117"/>
      <c r="T128" s="117"/>
    </row>
    <row r="129" spans="1:20" s="23" customFormat="1" ht="15.75" customHeight="1" hidden="1">
      <c r="A129" s="119"/>
      <c r="B129" s="12"/>
      <c r="C129" s="15" t="s">
        <v>306</v>
      </c>
      <c r="D129" s="14">
        <f>SUM(E129:R129)</f>
        <v>0</v>
      </c>
      <c r="E129" s="11"/>
      <c r="F129" s="11"/>
      <c r="G129" s="11"/>
      <c r="H129" s="11"/>
      <c r="I129" s="11"/>
      <c r="J129" s="11"/>
      <c r="K129" s="71"/>
      <c r="L129" s="146"/>
      <c r="M129" s="146"/>
      <c r="N129" s="146"/>
      <c r="O129" s="75"/>
      <c r="P129" s="177"/>
      <c r="Q129" s="146"/>
      <c r="R129" s="149"/>
      <c r="S129" s="117"/>
      <c r="T129" s="117"/>
    </row>
    <row r="130" spans="1:20" s="23" customFormat="1" ht="15.75" customHeight="1">
      <c r="A130" s="119"/>
      <c r="B130" s="12"/>
      <c r="C130" s="15" t="s">
        <v>307</v>
      </c>
      <c r="D130" s="14">
        <f>SUM(E130:R130)</f>
        <v>9800000</v>
      </c>
      <c r="E130" s="11"/>
      <c r="F130" s="11"/>
      <c r="G130" s="11"/>
      <c r="H130" s="11"/>
      <c r="I130" s="11"/>
      <c r="J130" s="11">
        <v>9800000</v>
      </c>
      <c r="K130" s="71"/>
      <c r="L130" s="146"/>
      <c r="M130" s="146"/>
      <c r="N130" s="146"/>
      <c r="O130" s="75"/>
      <c r="P130" s="177"/>
      <c r="Q130" s="146"/>
      <c r="R130" s="149"/>
      <c r="S130" s="117"/>
      <c r="T130" s="117"/>
    </row>
    <row r="131" spans="1:20" s="5" customFormat="1" ht="15.75" customHeight="1">
      <c r="A131" s="118"/>
      <c r="B131" s="277" t="s">
        <v>308</v>
      </c>
      <c r="C131" s="278"/>
      <c r="D131" s="19">
        <f>D132</f>
        <v>-326667</v>
      </c>
      <c r="E131" s="19">
        <f aca="true" t="shared" si="63" ref="E131:R131">E132</f>
        <v>0</v>
      </c>
      <c r="F131" s="19">
        <f t="shared" si="63"/>
        <v>0</v>
      </c>
      <c r="G131" s="19">
        <f t="shared" si="63"/>
        <v>0</v>
      </c>
      <c r="H131" s="19">
        <f t="shared" si="63"/>
        <v>0</v>
      </c>
      <c r="I131" s="19">
        <f t="shared" si="63"/>
        <v>0</v>
      </c>
      <c r="J131" s="19">
        <f t="shared" si="63"/>
        <v>-326667</v>
      </c>
      <c r="K131" s="19">
        <f t="shared" si="63"/>
        <v>0</v>
      </c>
      <c r="L131" s="19">
        <f t="shared" si="63"/>
        <v>0</v>
      </c>
      <c r="M131" s="19">
        <f t="shared" si="63"/>
        <v>0</v>
      </c>
      <c r="N131" s="19">
        <f t="shared" si="63"/>
        <v>0</v>
      </c>
      <c r="O131" s="28">
        <f t="shared" si="63"/>
        <v>0</v>
      </c>
      <c r="P131" s="176">
        <f t="shared" si="63"/>
        <v>0</v>
      </c>
      <c r="Q131" s="19">
        <f t="shared" si="63"/>
        <v>0</v>
      </c>
      <c r="R131" s="19">
        <f t="shared" si="63"/>
        <v>0</v>
      </c>
      <c r="S131" s="117"/>
      <c r="T131" s="117"/>
    </row>
    <row r="132" spans="1:20" s="23" customFormat="1" ht="15.75" customHeight="1">
      <c r="A132" s="119"/>
      <c r="B132" s="12"/>
      <c r="C132" s="15" t="s">
        <v>308</v>
      </c>
      <c r="D132" s="14">
        <f>SUM(E132:R132)</f>
        <v>-326667</v>
      </c>
      <c r="E132" s="11"/>
      <c r="F132" s="11"/>
      <c r="G132" s="11"/>
      <c r="H132" s="11"/>
      <c r="I132" s="11"/>
      <c r="J132" s="14">
        <v>-326667</v>
      </c>
      <c r="K132" s="71"/>
      <c r="L132" s="146"/>
      <c r="M132" s="146"/>
      <c r="N132" s="146"/>
      <c r="O132" s="75"/>
      <c r="P132" s="177"/>
      <c r="Q132" s="146"/>
      <c r="R132" s="149"/>
      <c r="S132" s="117"/>
      <c r="T132" s="117"/>
    </row>
    <row r="133" spans="1:20" s="5" customFormat="1" ht="15.75" customHeight="1">
      <c r="A133" s="118"/>
      <c r="B133" s="277" t="s">
        <v>258</v>
      </c>
      <c r="C133" s="278"/>
      <c r="D133" s="19">
        <f>D134+D135</f>
        <v>63529450</v>
      </c>
      <c r="E133" s="19">
        <f aca="true" t="shared" si="64" ref="E133:R133">E134+E135</f>
        <v>0</v>
      </c>
      <c r="F133" s="19">
        <f t="shared" si="64"/>
        <v>0</v>
      </c>
      <c r="G133" s="19">
        <f t="shared" si="64"/>
        <v>0</v>
      </c>
      <c r="H133" s="19">
        <f t="shared" si="64"/>
        <v>0</v>
      </c>
      <c r="I133" s="19">
        <f t="shared" si="64"/>
        <v>0</v>
      </c>
      <c r="J133" s="19">
        <f t="shared" si="64"/>
        <v>49900450</v>
      </c>
      <c r="K133" s="19">
        <f t="shared" si="64"/>
        <v>0</v>
      </c>
      <c r="L133" s="19">
        <f t="shared" si="64"/>
        <v>0</v>
      </c>
      <c r="M133" s="19">
        <f t="shared" si="64"/>
        <v>13629000</v>
      </c>
      <c r="N133" s="19">
        <f t="shared" si="64"/>
        <v>0</v>
      </c>
      <c r="O133" s="28">
        <f t="shared" si="64"/>
        <v>0</v>
      </c>
      <c r="P133" s="176">
        <f t="shared" si="64"/>
        <v>0</v>
      </c>
      <c r="Q133" s="19">
        <f t="shared" si="64"/>
        <v>0</v>
      </c>
      <c r="R133" s="19">
        <f t="shared" si="64"/>
        <v>0</v>
      </c>
      <c r="S133" s="117"/>
      <c r="T133" s="117"/>
    </row>
    <row r="134" spans="1:20" s="23" customFormat="1" ht="15.75" customHeight="1">
      <c r="A134" s="119"/>
      <c r="B134" s="12"/>
      <c r="C134" s="15" t="s">
        <v>259</v>
      </c>
      <c r="D134" s="14">
        <f>SUM(E134:R134)</f>
        <v>25792950</v>
      </c>
      <c r="E134" s="11"/>
      <c r="F134" s="11"/>
      <c r="G134" s="11"/>
      <c r="H134" s="11"/>
      <c r="I134" s="11"/>
      <c r="J134" s="11">
        <f>'[8]발전소주변지역'!$A$13</f>
        <v>12163950</v>
      </c>
      <c r="K134" s="71"/>
      <c r="L134" s="146"/>
      <c r="M134" s="146">
        <v>13629000</v>
      </c>
      <c r="N134" s="146"/>
      <c r="O134" s="75"/>
      <c r="P134" s="177"/>
      <c r="Q134" s="146"/>
      <c r="R134" s="149"/>
      <c r="S134" s="117"/>
      <c r="T134" s="117"/>
    </row>
    <row r="135" spans="1:20" s="23" customFormat="1" ht="15.75" customHeight="1">
      <c r="A135" s="119"/>
      <c r="B135" s="12"/>
      <c r="C135" s="15" t="s">
        <v>260</v>
      </c>
      <c r="D135" s="14">
        <f>SUM(E135:R135)</f>
        <v>37736500</v>
      </c>
      <c r="E135" s="11"/>
      <c r="F135" s="11"/>
      <c r="G135" s="11"/>
      <c r="H135" s="11"/>
      <c r="I135" s="11"/>
      <c r="J135" s="11">
        <f>29560000+8176500</f>
        <v>37736500</v>
      </c>
      <c r="K135" s="71"/>
      <c r="L135" s="146"/>
      <c r="M135" s="146"/>
      <c r="N135" s="146"/>
      <c r="O135" s="75"/>
      <c r="P135" s="177"/>
      <c r="Q135" s="146"/>
      <c r="R135" s="149"/>
      <c r="S135" s="117"/>
      <c r="T135" s="117"/>
    </row>
    <row r="136" spans="1:20" s="5" customFormat="1" ht="15.75" customHeight="1" hidden="1">
      <c r="A136" s="118"/>
      <c r="B136" s="277" t="s">
        <v>265</v>
      </c>
      <c r="C136" s="278"/>
      <c r="D136" s="19">
        <f>D137</f>
        <v>0</v>
      </c>
      <c r="E136" s="19">
        <f aca="true" t="shared" si="65" ref="E136:R136">E137</f>
        <v>0</v>
      </c>
      <c r="F136" s="19">
        <f t="shared" si="65"/>
        <v>0</v>
      </c>
      <c r="G136" s="19">
        <f t="shared" si="65"/>
        <v>0</v>
      </c>
      <c r="H136" s="19">
        <f t="shared" si="65"/>
        <v>0</v>
      </c>
      <c r="I136" s="19">
        <f t="shared" si="65"/>
        <v>0</v>
      </c>
      <c r="J136" s="19">
        <f t="shared" si="65"/>
        <v>0</v>
      </c>
      <c r="K136" s="19">
        <f t="shared" si="65"/>
        <v>0</v>
      </c>
      <c r="L136" s="19">
        <f t="shared" si="65"/>
        <v>0</v>
      </c>
      <c r="M136" s="19">
        <f t="shared" si="65"/>
        <v>0</v>
      </c>
      <c r="N136" s="19">
        <f t="shared" si="65"/>
        <v>0</v>
      </c>
      <c r="O136" s="28">
        <f t="shared" si="65"/>
        <v>0</v>
      </c>
      <c r="P136" s="176">
        <f t="shared" si="65"/>
        <v>0</v>
      </c>
      <c r="Q136" s="19">
        <f t="shared" si="65"/>
        <v>0</v>
      </c>
      <c r="R136" s="19">
        <f t="shared" si="65"/>
        <v>0</v>
      </c>
      <c r="S136" s="117"/>
      <c r="T136" s="117"/>
    </row>
    <row r="137" spans="1:20" s="23" customFormat="1" ht="15.75" customHeight="1" hidden="1">
      <c r="A137" s="119"/>
      <c r="B137" s="12"/>
      <c r="C137" s="15" t="s">
        <v>264</v>
      </c>
      <c r="D137" s="14">
        <f>SUM(E137:R137)</f>
        <v>0</v>
      </c>
      <c r="E137" s="11"/>
      <c r="F137" s="11"/>
      <c r="G137" s="11"/>
      <c r="H137" s="11"/>
      <c r="I137" s="11"/>
      <c r="J137" s="11"/>
      <c r="K137" s="71"/>
      <c r="L137" s="146"/>
      <c r="M137" s="146"/>
      <c r="N137" s="146"/>
      <c r="O137" s="75"/>
      <c r="P137" s="177"/>
      <c r="Q137" s="146"/>
      <c r="R137" s="149"/>
      <c r="S137" s="117"/>
      <c r="T137" s="117"/>
    </row>
    <row r="138" spans="1:20" s="5" customFormat="1" ht="15.75" customHeight="1">
      <c r="A138" s="118"/>
      <c r="B138" s="277" t="s">
        <v>171</v>
      </c>
      <c r="C138" s="278"/>
      <c r="D138" s="19">
        <f>D139</f>
        <v>1479527750</v>
      </c>
      <c r="E138" s="19">
        <f aca="true" t="shared" si="66" ref="E138:R138">E139</f>
        <v>0</v>
      </c>
      <c r="F138" s="19">
        <f t="shared" si="66"/>
        <v>0</v>
      </c>
      <c r="G138" s="19">
        <f t="shared" si="66"/>
        <v>0</v>
      </c>
      <c r="H138" s="19">
        <f t="shared" si="66"/>
        <v>0</v>
      </c>
      <c r="I138" s="19">
        <f t="shared" si="66"/>
        <v>0</v>
      </c>
      <c r="J138" s="19">
        <f t="shared" si="66"/>
        <v>291172150</v>
      </c>
      <c r="K138" s="19">
        <f t="shared" si="66"/>
        <v>0</v>
      </c>
      <c r="L138" s="19">
        <f t="shared" si="66"/>
        <v>977274960</v>
      </c>
      <c r="M138" s="19">
        <f t="shared" si="66"/>
        <v>211080640</v>
      </c>
      <c r="N138" s="19">
        <f t="shared" si="66"/>
        <v>0</v>
      </c>
      <c r="O138" s="28">
        <f t="shared" si="66"/>
        <v>0</v>
      </c>
      <c r="P138" s="176">
        <f t="shared" si="66"/>
        <v>0</v>
      </c>
      <c r="Q138" s="19">
        <f t="shared" si="66"/>
        <v>0</v>
      </c>
      <c r="R138" s="19">
        <f t="shared" si="66"/>
        <v>0</v>
      </c>
      <c r="S138" s="117">
        <f aca="true" t="shared" si="67" ref="S138:S158">D138-SUM(E138:R138)</f>
        <v>0</v>
      </c>
      <c r="T138" s="117">
        <f aca="true" t="shared" si="68" ref="T138:T180">D138-SUM(E138:R138)</f>
        <v>0</v>
      </c>
    </row>
    <row r="139" spans="1:20" s="23" customFormat="1" ht="15.75" customHeight="1">
      <c r="A139" s="119"/>
      <c r="B139" s="12"/>
      <c r="C139" s="15" t="s">
        <v>145</v>
      </c>
      <c r="D139" s="14">
        <f>SUM(E139:R139)</f>
        <v>1479527750</v>
      </c>
      <c r="E139" s="11"/>
      <c r="F139" s="11"/>
      <c r="G139" s="11"/>
      <c r="H139" s="11"/>
      <c r="I139" s="11"/>
      <c r="J139" s="11">
        <f>'[8]발전소주변지역'!$A$15+16602320+39030260+48139720</f>
        <v>291172150</v>
      </c>
      <c r="K139" s="139"/>
      <c r="L139" s="151">
        <f>'[10]농공단지'!$A$25</f>
        <v>977274960</v>
      </c>
      <c r="M139" s="151">
        <f>69783020+141297620</f>
        <v>211080640</v>
      </c>
      <c r="N139" s="151"/>
      <c r="O139" s="198"/>
      <c r="P139" s="184"/>
      <c r="Q139" s="151"/>
      <c r="R139" s="56"/>
      <c r="S139" s="117">
        <f t="shared" si="67"/>
        <v>0</v>
      </c>
      <c r="T139" s="117">
        <f t="shared" si="68"/>
        <v>0</v>
      </c>
    </row>
    <row r="140" spans="1:20" s="23" customFormat="1" ht="15.75" customHeight="1" hidden="1">
      <c r="A140" s="119"/>
      <c r="B140" s="12"/>
      <c r="C140" s="15"/>
      <c r="D140" s="14">
        <f>SUM(E140:K140)</f>
        <v>0</v>
      </c>
      <c r="E140" s="11"/>
      <c r="F140" s="11"/>
      <c r="G140" s="11"/>
      <c r="H140" s="11"/>
      <c r="I140" s="11"/>
      <c r="J140" s="11"/>
      <c r="K140" s="11"/>
      <c r="L140" s="147"/>
      <c r="M140" s="147"/>
      <c r="N140" s="147"/>
      <c r="O140" s="26"/>
      <c r="P140" s="178"/>
      <c r="Q140" s="147"/>
      <c r="R140" s="26"/>
      <c r="S140" s="117">
        <f t="shared" si="67"/>
        <v>0</v>
      </c>
      <c r="T140" s="117">
        <f t="shared" si="68"/>
        <v>0</v>
      </c>
    </row>
    <row r="141" spans="1:20" s="5" customFormat="1" ht="15.75" customHeight="1" hidden="1">
      <c r="A141" s="276" t="s">
        <v>228</v>
      </c>
      <c r="B141" s="277"/>
      <c r="C141" s="278"/>
      <c r="D141" s="19">
        <f>D142+D144+D146</f>
        <v>0</v>
      </c>
      <c r="E141" s="19">
        <f aca="true" t="shared" si="69" ref="E141:R141">E142+E144+E146</f>
        <v>0</v>
      </c>
      <c r="F141" s="19">
        <f t="shared" si="69"/>
        <v>0</v>
      </c>
      <c r="G141" s="19">
        <f t="shared" si="69"/>
        <v>0</v>
      </c>
      <c r="H141" s="19">
        <f t="shared" si="69"/>
        <v>0</v>
      </c>
      <c r="I141" s="19">
        <f t="shared" si="69"/>
        <v>0</v>
      </c>
      <c r="J141" s="19">
        <f t="shared" si="69"/>
        <v>0</v>
      </c>
      <c r="K141" s="19">
        <f t="shared" si="69"/>
        <v>0</v>
      </c>
      <c r="L141" s="19">
        <f t="shared" si="69"/>
        <v>0</v>
      </c>
      <c r="M141" s="19">
        <f t="shared" si="69"/>
        <v>0</v>
      </c>
      <c r="N141" s="19">
        <f t="shared" si="69"/>
        <v>0</v>
      </c>
      <c r="O141" s="28">
        <f t="shared" si="69"/>
        <v>0</v>
      </c>
      <c r="P141" s="176">
        <f t="shared" si="69"/>
        <v>0</v>
      </c>
      <c r="Q141" s="19">
        <f t="shared" si="69"/>
        <v>0</v>
      </c>
      <c r="R141" s="19">
        <f t="shared" si="69"/>
        <v>0</v>
      </c>
      <c r="S141" s="117">
        <f t="shared" si="67"/>
        <v>0</v>
      </c>
      <c r="T141" s="117">
        <f t="shared" si="68"/>
        <v>0</v>
      </c>
    </row>
    <row r="142" spans="1:20" s="5" customFormat="1" ht="15" customHeight="1" hidden="1">
      <c r="A142" s="27"/>
      <c r="B142" s="281" t="s">
        <v>51</v>
      </c>
      <c r="C142" s="282"/>
      <c r="D142" s="19">
        <f>D143</f>
        <v>0</v>
      </c>
      <c r="E142" s="19">
        <f aca="true" t="shared" si="70" ref="E142:J142">E143</f>
        <v>0</v>
      </c>
      <c r="F142" s="19">
        <f t="shared" si="70"/>
        <v>0</v>
      </c>
      <c r="G142" s="19">
        <f t="shared" si="70"/>
        <v>0</v>
      </c>
      <c r="H142" s="19">
        <f t="shared" si="70"/>
        <v>0</v>
      </c>
      <c r="I142" s="19">
        <f t="shared" si="70"/>
        <v>0</v>
      </c>
      <c r="J142" s="19">
        <f t="shared" si="70"/>
        <v>0</v>
      </c>
      <c r="K142" s="19">
        <f>K143</f>
        <v>0</v>
      </c>
      <c r="L142" s="19">
        <f aca="true" t="shared" si="71" ref="L142:R142">L143</f>
        <v>0</v>
      </c>
      <c r="M142" s="19">
        <f t="shared" si="71"/>
        <v>0</v>
      </c>
      <c r="N142" s="19">
        <f t="shared" si="71"/>
        <v>0</v>
      </c>
      <c r="O142" s="28">
        <f t="shared" si="71"/>
        <v>0</v>
      </c>
      <c r="P142" s="176">
        <f t="shared" si="71"/>
        <v>0</v>
      </c>
      <c r="Q142" s="19">
        <f t="shared" si="71"/>
        <v>0</v>
      </c>
      <c r="R142" s="19">
        <f t="shared" si="71"/>
        <v>0</v>
      </c>
      <c r="S142" s="117">
        <f t="shared" si="67"/>
        <v>0</v>
      </c>
      <c r="T142" s="117">
        <f t="shared" si="68"/>
        <v>0</v>
      </c>
    </row>
    <row r="143" spans="1:20" s="23" customFormat="1" ht="15" customHeight="1" hidden="1">
      <c r="A143" s="76"/>
      <c r="B143" s="123"/>
      <c r="C143" s="124" t="s">
        <v>234</v>
      </c>
      <c r="D143" s="14">
        <f>SUM(E143:R143)</f>
        <v>0</v>
      </c>
      <c r="E143" s="11"/>
      <c r="F143" s="11"/>
      <c r="G143" s="71"/>
      <c r="H143" s="71"/>
      <c r="I143" s="71"/>
      <c r="J143" s="71"/>
      <c r="K143" s="11"/>
      <c r="L143" s="147"/>
      <c r="M143" s="147"/>
      <c r="N143" s="147"/>
      <c r="O143" s="26"/>
      <c r="P143" s="178"/>
      <c r="Q143" s="147"/>
      <c r="R143" s="56"/>
      <c r="S143" s="141">
        <f t="shared" si="67"/>
        <v>0</v>
      </c>
      <c r="T143" s="141">
        <f t="shared" si="68"/>
        <v>0</v>
      </c>
    </row>
    <row r="144" spans="1:20" s="5" customFormat="1" ht="15.75" customHeight="1" hidden="1">
      <c r="A144" s="27"/>
      <c r="B144" s="281" t="s">
        <v>63</v>
      </c>
      <c r="C144" s="282"/>
      <c r="D144" s="19">
        <f>D145</f>
        <v>0</v>
      </c>
      <c r="E144" s="19">
        <f aca="true" t="shared" si="72" ref="E144:R144">E145</f>
        <v>0</v>
      </c>
      <c r="F144" s="19">
        <f t="shared" si="72"/>
        <v>0</v>
      </c>
      <c r="G144" s="19">
        <f t="shared" si="72"/>
        <v>0</v>
      </c>
      <c r="H144" s="19">
        <f t="shared" si="72"/>
        <v>0</v>
      </c>
      <c r="I144" s="19">
        <f t="shared" si="72"/>
        <v>0</v>
      </c>
      <c r="J144" s="19">
        <f t="shared" si="72"/>
        <v>0</v>
      </c>
      <c r="K144" s="19">
        <f t="shared" si="72"/>
        <v>0</v>
      </c>
      <c r="L144" s="19">
        <f t="shared" si="72"/>
        <v>0</v>
      </c>
      <c r="M144" s="19">
        <f t="shared" si="72"/>
        <v>0</v>
      </c>
      <c r="N144" s="19">
        <f t="shared" si="72"/>
        <v>0</v>
      </c>
      <c r="O144" s="28">
        <f t="shared" si="72"/>
        <v>0</v>
      </c>
      <c r="P144" s="176">
        <f t="shared" si="72"/>
        <v>0</v>
      </c>
      <c r="Q144" s="19">
        <f t="shared" si="72"/>
        <v>0</v>
      </c>
      <c r="R144" s="19">
        <f t="shared" si="72"/>
        <v>0</v>
      </c>
      <c r="S144" s="117">
        <f t="shared" si="67"/>
        <v>0</v>
      </c>
      <c r="T144" s="117">
        <f t="shared" si="68"/>
        <v>0</v>
      </c>
    </row>
    <row r="145" spans="1:20" s="23" customFormat="1" ht="15.75" customHeight="1" hidden="1">
      <c r="A145" s="27"/>
      <c r="B145" s="123"/>
      <c r="C145" s="124" t="s">
        <v>155</v>
      </c>
      <c r="D145" s="14">
        <f>SUM(E145:R145)</f>
        <v>0</v>
      </c>
      <c r="E145" s="11"/>
      <c r="F145" s="11"/>
      <c r="G145" s="71"/>
      <c r="H145" s="71"/>
      <c r="I145" s="71"/>
      <c r="J145" s="71"/>
      <c r="K145" s="11"/>
      <c r="L145" s="147"/>
      <c r="M145" s="147"/>
      <c r="N145" s="147"/>
      <c r="O145" s="26"/>
      <c r="P145" s="178"/>
      <c r="Q145" s="147"/>
      <c r="R145" s="56"/>
      <c r="S145" s="117">
        <f t="shared" si="67"/>
        <v>0</v>
      </c>
      <c r="T145" s="117">
        <f t="shared" si="68"/>
        <v>0</v>
      </c>
    </row>
    <row r="146" spans="1:20" s="5" customFormat="1" ht="15.75" customHeight="1" hidden="1">
      <c r="A146" s="27"/>
      <c r="B146" s="281" t="s">
        <v>296</v>
      </c>
      <c r="C146" s="282"/>
      <c r="D146" s="19">
        <f>D147+D148</f>
        <v>0</v>
      </c>
      <c r="E146" s="19">
        <f aca="true" t="shared" si="73" ref="E146:R146">E147+E148</f>
        <v>0</v>
      </c>
      <c r="F146" s="19">
        <f t="shared" si="73"/>
        <v>0</v>
      </c>
      <c r="G146" s="19">
        <f t="shared" si="73"/>
        <v>0</v>
      </c>
      <c r="H146" s="19">
        <f t="shared" si="73"/>
        <v>0</v>
      </c>
      <c r="I146" s="19">
        <f t="shared" si="73"/>
        <v>0</v>
      </c>
      <c r="J146" s="19">
        <f t="shared" si="73"/>
        <v>0</v>
      </c>
      <c r="K146" s="19">
        <f t="shared" si="73"/>
        <v>0</v>
      </c>
      <c r="L146" s="19">
        <f t="shared" si="73"/>
        <v>0</v>
      </c>
      <c r="M146" s="19">
        <f t="shared" si="73"/>
        <v>0</v>
      </c>
      <c r="N146" s="19">
        <f t="shared" si="73"/>
        <v>0</v>
      </c>
      <c r="O146" s="28">
        <f t="shared" si="73"/>
        <v>0</v>
      </c>
      <c r="P146" s="176">
        <f t="shared" si="73"/>
        <v>0</v>
      </c>
      <c r="Q146" s="19">
        <f t="shared" si="73"/>
        <v>0</v>
      </c>
      <c r="R146" s="19">
        <f t="shared" si="73"/>
        <v>0</v>
      </c>
      <c r="S146" s="117"/>
      <c r="T146" s="117"/>
    </row>
    <row r="147" spans="1:20" s="23" customFormat="1" ht="15.75" customHeight="1" hidden="1">
      <c r="A147" s="27"/>
      <c r="B147" s="123"/>
      <c r="C147" s="124" t="s">
        <v>295</v>
      </c>
      <c r="D147" s="14">
        <f>SUM(E147:R147)</f>
        <v>0</v>
      </c>
      <c r="E147" s="11"/>
      <c r="F147" s="11"/>
      <c r="G147" s="71"/>
      <c r="H147" s="71"/>
      <c r="I147" s="71"/>
      <c r="J147" s="71"/>
      <c r="K147" s="11"/>
      <c r="L147" s="147"/>
      <c r="M147" s="147"/>
      <c r="N147" s="147"/>
      <c r="O147" s="26"/>
      <c r="P147" s="178"/>
      <c r="Q147" s="147"/>
      <c r="R147" s="56"/>
      <c r="S147" s="117"/>
      <c r="T147" s="117"/>
    </row>
    <row r="148" spans="1:20" s="23" customFormat="1" ht="15.75" customHeight="1" hidden="1">
      <c r="A148" s="27"/>
      <c r="B148" s="123"/>
      <c r="C148" s="124" t="s">
        <v>294</v>
      </c>
      <c r="D148" s="14">
        <f>SUM(E148:R148)</f>
        <v>0</v>
      </c>
      <c r="E148" s="11"/>
      <c r="F148" s="11"/>
      <c r="G148" s="71"/>
      <c r="H148" s="71"/>
      <c r="I148" s="71"/>
      <c r="J148" s="71"/>
      <c r="K148" s="11"/>
      <c r="L148" s="147"/>
      <c r="M148" s="147"/>
      <c r="N148" s="147"/>
      <c r="O148" s="26"/>
      <c r="P148" s="178"/>
      <c r="Q148" s="147"/>
      <c r="R148" s="56"/>
      <c r="S148" s="117"/>
      <c r="T148" s="117"/>
    </row>
    <row r="149" spans="1:20" s="23" customFormat="1" ht="15.75" customHeight="1">
      <c r="A149" s="119"/>
      <c r="B149" s="12"/>
      <c r="C149" s="16" t="s">
        <v>47</v>
      </c>
      <c r="D149" s="14">
        <f>SUM(E149:K149)</f>
        <v>0</v>
      </c>
      <c r="E149" s="11"/>
      <c r="F149" s="11"/>
      <c r="G149" s="11"/>
      <c r="H149" s="11"/>
      <c r="I149" s="11"/>
      <c r="J149" s="11"/>
      <c r="K149" s="11"/>
      <c r="L149" s="147"/>
      <c r="M149" s="147"/>
      <c r="N149" s="147"/>
      <c r="O149" s="26"/>
      <c r="P149" s="178"/>
      <c r="Q149" s="147"/>
      <c r="R149" s="56">
        <v>0</v>
      </c>
      <c r="S149" s="117">
        <f t="shared" si="67"/>
        <v>0</v>
      </c>
      <c r="T149" s="117">
        <f t="shared" si="68"/>
        <v>0</v>
      </c>
    </row>
    <row r="150" spans="1:20" s="23" customFormat="1" ht="15.75" customHeight="1">
      <c r="A150" s="119"/>
      <c r="B150" s="12"/>
      <c r="C150" s="16"/>
      <c r="D150" s="19">
        <f>SUM(E150:K150)</f>
        <v>0</v>
      </c>
      <c r="E150" s="11"/>
      <c r="F150" s="11"/>
      <c r="G150" s="11"/>
      <c r="H150" s="11"/>
      <c r="I150" s="11"/>
      <c r="J150" s="11"/>
      <c r="K150" s="11"/>
      <c r="L150" s="147"/>
      <c r="M150" s="147"/>
      <c r="N150" s="147"/>
      <c r="O150" s="26"/>
      <c r="P150" s="178"/>
      <c r="Q150" s="147"/>
      <c r="R150" s="26"/>
      <c r="S150" s="117">
        <f t="shared" si="67"/>
        <v>0</v>
      </c>
      <c r="T150" s="117">
        <f t="shared" si="68"/>
        <v>0</v>
      </c>
    </row>
    <row r="151" spans="1:20" s="23" customFormat="1" ht="15.75" customHeight="1" thickBot="1">
      <c r="A151" s="283" t="s">
        <v>39</v>
      </c>
      <c r="B151" s="284"/>
      <c r="C151" s="285"/>
      <c r="D151" s="33">
        <f>D7+D36+D44+D72+D106+D141</f>
        <v>21066005097</v>
      </c>
      <c r="E151" s="33">
        <f aca="true" t="shared" si="74" ref="E151:R151">E7+E36+E44+E72+E106+E141</f>
        <v>408588580</v>
      </c>
      <c r="F151" s="33">
        <f t="shared" si="74"/>
        <v>1638260840</v>
      </c>
      <c r="G151" s="33">
        <f t="shared" si="74"/>
        <v>586080</v>
      </c>
      <c r="H151" s="33">
        <f t="shared" si="74"/>
        <v>964956620</v>
      </c>
      <c r="I151" s="33">
        <f t="shared" si="74"/>
        <v>1147082495</v>
      </c>
      <c r="J151" s="33">
        <f t="shared" si="74"/>
        <v>3115358394</v>
      </c>
      <c r="K151" s="33">
        <f t="shared" si="74"/>
        <v>2333838326</v>
      </c>
      <c r="L151" s="33">
        <f t="shared" si="74"/>
        <v>8824635571</v>
      </c>
      <c r="M151" s="33">
        <f t="shared" si="74"/>
        <v>1275236928</v>
      </c>
      <c r="N151" s="33">
        <f t="shared" si="74"/>
        <v>972991990</v>
      </c>
      <c r="O151" s="199">
        <f t="shared" si="74"/>
        <v>384469273</v>
      </c>
      <c r="P151" s="185">
        <f t="shared" si="74"/>
        <v>0</v>
      </c>
      <c r="Q151" s="33">
        <f t="shared" si="74"/>
        <v>0</v>
      </c>
      <c r="R151" s="33">
        <f t="shared" si="74"/>
        <v>0</v>
      </c>
      <c r="S151" s="117">
        <f t="shared" si="67"/>
        <v>0</v>
      </c>
      <c r="T151" s="117">
        <f t="shared" si="68"/>
        <v>0</v>
      </c>
    </row>
    <row r="152" spans="1:20" s="23" customFormat="1" ht="15.75" customHeight="1" thickTop="1">
      <c r="A152" s="119"/>
      <c r="B152" s="17"/>
      <c r="C152" s="18"/>
      <c r="D152" s="19">
        <f>SUM(E152:K152)</f>
        <v>0</v>
      </c>
      <c r="E152" s="19"/>
      <c r="F152" s="19"/>
      <c r="G152" s="19"/>
      <c r="H152" s="19"/>
      <c r="I152" s="19"/>
      <c r="J152" s="19"/>
      <c r="K152" s="19"/>
      <c r="L152" s="145"/>
      <c r="M152" s="145"/>
      <c r="N152" s="145"/>
      <c r="O152" s="28"/>
      <c r="P152" s="186"/>
      <c r="Q152" s="145"/>
      <c r="R152" s="28"/>
      <c r="S152" s="117">
        <f t="shared" si="67"/>
        <v>0</v>
      </c>
      <c r="T152" s="117">
        <f t="shared" si="68"/>
        <v>0</v>
      </c>
    </row>
    <row r="153" spans="1:20" s="23" customFormat="1" ht="15.75" customHeight="1">
      <c r="A153" s="289" t="s">
        <v>40</v>
      </c>
      <c r="B153" s="290"/>
      <c r="C153" s="291"/>
      <c r="D153" s="19">
        <f>SUM(E153:K153)</f>
        <v>0</v>
      </c>
      <c r="E153" s="19"/>
      <c r="F153" s="19"/>
      <c r="G153" s="19"/>
      <c r="H153" s="19"/>
      <c r="I153" s="19"/>
      <c r="J153" s="19"/>
      <c r="K153" s="19"/>
      <c r="L153" s="145"/>
      <c r="M153" s="145"/>
      <c r="N153" s="145"/>
      <c r="O153" s="28"/>
      <c r="P153" s="186"/>
      <c r="Q153" s="145"/>
      <c r="R153" s="28"/>
      <c r="S153" s="117">
        <f t="shared" si="67"/>
        <v>0</v>
      </c>
      <c r="T153" s="117">
        <f t="shared" si="68"/>
        <v>0</v>
      </c>
    </row>
    <row r="154" spans="1:20" s="23" customFormat="1" ht="15.75" customHeight="1">
      <c r="A154" s="276" t="s">
        <v>41</v>
      </c>
      <c r="B154" s="277"/>
      <c r="C154" s="278"/>
      <c r="D154" s="19">
        <f>D155+D157</f>
        <v>1589243164</v>
      </c>
      <c r="E154" s="19">
        <f aca="true" t="shared" si="75" ref="E154:R154">E155+E157</f>
        <v>7170835</v>
      </c>
      <c r="F154" s="19">
        <f>F155+F157</f>
        <v>0</v>
      </c>
      <c r="G154" s="19">
        <f t="shared" si="75"/>
        <v>0</v>
      </c>
      <c r="H154" s="19">
        <f t="shared" si="75"/>
        <v>0</v>
      </c>
      <c r="I154" s="19">
        <f t="shared" si="75"/>
        <v>0</v>
      </c>
      <c r="J154" s="19">
        <f t="shared" si="75"/>
        <v>0</v>
      </c>
      <c r="K154" s="19">
        <f t="shared" si="75"/>
        <v>0</v>
      </c>
      <c r="L154" s="19">
        <f t="shared" si="75"/>
        <v>1582072329</v>
      </c>
      <c r="M154" s="19">
        <f t="shared" si="75"/>
        <v>0</v>
      </c>
      <c r="N154" s="19">
        <f t="shared" si="75"/>
        <v>0</v>
      </c>
      <c r="O154" s="28">
        <f t="shared" si="75"/>
        <v>0</v>
      </c>
      <c r="P154" s="176">
        <f t="shared" si="75"/>
        <v>0</v>
      </c>
      <c r="Q154" s="19">
        <f t="shared" si="75"/>
        <v>0</v>
      </c>
      <c r="R154" s="19">
        <f t="shared" si="75"/>
        <v>0</v>
      </c>
      <c r="S154" s="117">
        <f t="shared" si="67"/>
        <v>0</v>
      </c>
      <c r="T154" s="117">
        <f t="shared" si="68"/>
        <v>0</v>
      </c>
    </row>
    <row r="155" spans="1:20" s="5" customFormat="1" ht="15.75" customHeight="1">
      <c r="A155" s="27"/>
      <c r="B155" s="277" t="s">
        <v>140</v>
      </c>
      <c r="C155" s="278"/>
      <c r="D155" s="19">
        <f>D156</f>
        <v>1446162970</v>
      </c>
      <c r="E155" s="19">
        <f aca="true" t="shared" si="76" ref="E155:R155">E156</f>
        <v>7162970</v>
      </c>
      <c r="F155" s="19">
        <f t="shared" si="76"/>
        <v>0</v>
      </c>
      <c r="G155" s="19">
        <f t="shared" si="76"/>
        <v>0</v>
      </c>
      <c r="H155" s="19">
        <f t="shared" si="76"/>
        <v>0</v>
      </c>
      <c r="I155" s="19">
        <f t="shared" si="76"/>
        <v>0</v>
      </c>
      <c r="J155" s="19">
        <f t="shared" si="76"/>
        <v>0</v>
      </c>
      <c r="K155" s="19">
        <f t="shared" si="76"/>
        <v>0</v>
      </c>
      <c r="L155" s="19">
        <f t="shared" si="76"/>
        <v>1439000000</v>
      </c>
      <c r="M155" s="19">
        <f t="shared" si="76"/>
        <v>0</v>
      </c>
      <c r="N155" s="19">
        <f t="shared" si="76"/>
        <v>0</v>
      </c>
      <c r="O155" s="28">
        <f t="shared" si="76"/>
        <v>0</v>
      </c>
      <c r="P155" s="176">
        <f t="shared" si="76"/>
        <v>0</v>
      </c>
      <c r="Q155" s="19">
        <f t="shared" si="76"/>
        <v>0</v>
      </c>
      <c r="R155" s="19">
        <f t="shared" si="76"/>
        <v>0</v>
      </c>
      <c r="S155" s="117">
        <f t="shared" si="67"/>
        <v>0</v>
      </c>
      <c r="T155" s="117">
        <f t="shared" si="68"/>
        <v>0</v>
      </c>
    </row>
    <row r="156" spans="1:20" s="23" customFormat="1" ht="15.75" customHeight="1">
      <c r="A156" s="76"/>
      <c r="B156" s="12"/>
      <c r="C156" s="13" t="s">
        <v>4</v>
      </c>
      <c r="D156" s="14">
        <f>SUM(E156:R156)</f>
        <v>1446162970</v>
      </c>
      <c r="E156" s="55">
        <f>-'[3]주택사업'!$A$14+'[15]기타특별회계'!$H$34+'[15]기타특별회계'!$H$36</f>
        <v>7162970</v>
      </c>
      <c r="F156" s="55"/>
      <c r="G156" s="77"/>
      <c r="H156" s="77"/>
      <c r="I156" s="77"/>
      <c r="J156" s="55"/>
      <c r="K156" s="55"/>
      <c r="L156" s="150">
        <f>'[15]기타특별회계'!$F$38</f>
        <v>1439000000</v>
      </c>
      <c r="M156" s="149"/>
      <c r="N156" s="149"/>
      <c r="O156" s="56"/>
      <c r="P156" s="181"/>
      <c r="Q156" s="149"/>
      <c r="R156" s="56"/>
      <c r="S156" s="117">
        <f t="shared" si="67"/>
        <v>0</v>
      </c>
      <c r="T156" s="117">
        <f t="shared" si="68"/>
        <v>0</v>
      </c>
    </row>
    <row r="157" spans="1:20" s="23" customFormat="1" ht="15.75" customHeight="1">
      <c r="A157" s="27"/>
      <c r="B157" s="277" t="s">
        <v>3</v>
      </c>
      <c r="C157" s="278"/>
      <c r="D157" s="19">
        <f>SUM(D158:D161)</f>
        <v>143080194</v>
      </c>
      <c r="E157" s="19">
        <f aca="true" t="shared" si="77" ref="E157:R157">SUM(E158:E161)</f>
        <v>7865</v>
      </c>
      <c r="F157" s="19">
        <f t="shared" si="77"/>
        <v>0</v>
      </c>
      <c r="G157" s="19">
        <f t="shared" si="77"/>
        <v>0</v>
      </c>
      <c r="H157" s="19">
        <f t="shared" si="77"/>
        <v>0</v>
      </c>
      <c r="I157" s="19">
        <f t="shared" si="77"/>
        <v>0</v>
      </c>
      <c r="J157" s="19">
        <f t="shared" si="77"/>
        <v>0</v>
      </c>
      <c r="K157" s="19">
        <f t="shared" si="77"/>
        <v>0</v>
      </c>
      <c r="L157" s="19">
        <f t="shared" si="77"/>
        <v>143072329</v>
      </c>
      <c r="M157" s="19">
        <f t="shared" si="77"/>
        <v>0</v>
      </c>
      <c r="N157" s="19">
        <f t="shared" si="77"/>
        <v>0</v>
      </c>
      <c r="O157" s="28">
        <f t="shared" si="77"/>
        <v>0</v>
      </c>
      <c r="P157" s="176">
        <f t="shared" si="77"/>
        <v>0</v>
      </c>
      <c r="Q157" s="19">
        <f t="shared" si="77"/>
        <v>0</v>
      </c>
      <c r="R157" s="19">
        <f t="shared" si="77"/>
        <v>0</v>
      </c>
      <c r="S157" s="117">
        <f t="shared" si="67"/>
        <v>0</v>
      </c>
      <c r="T157" s="117">
        <f t="shared" si="68"/>
        <v>0</v>
      </c>
    </row>
    <row r="158" spans="1:20" s="23" customFormat="1" ht="15.75" customHeight="1" hidden="1">
      <c r="A158" s="76"/>
      <c r="B158" s="12"/>
      <c r="C158" s="13" t="s">
        <v>146</v>
      </c>
      <c r="D158" s="14">
        <f>SUM(E158:R158)</f>
        <v>0</v>
      </c>
      <c r="E158" s="55"/>
      <c r="F158" s="55"/>
      <c r="G158" s="77">
        <f>-'[5]의료급여'!$A$11+'[15]기타특별회계'!$H$29</f>
        <v>0</v>
      </c>
      <c r="H158" s="77"/>
      <c r="I158" s="77"/>
      <c r="J158" s="34"/>
      <c r="K158" s="55"/>
      <c r="L158" s="150"/>
      <c r="M158" s="149"/>
      <c r="N158" s="149"/>
      <c r="O158" s="56"/>
      <c r="P158" s="181"/>
      <c r="Q158" s="149"/>
      <c r="R158" s="56"/>
      <c r="S158" s="117">
        <f t="shared" si="67"/>
        <v>0</v>
      </c>
      <c r="T158" s="117">
        <f t="shared" si="68"/>
        <v>0</v>
      </c>
    </row>
    <row r="159" spans="1:20" s="23" customFormat="1" ht="15.75" customHeight="1" hidden="1">
      <c r="A159" s="76"/>
      <c r="B159" s="12"/>
      <c r="C159" s="13" t="s">
        <v>324</v>
      </c>
      <c r="D159" s="14">
        <f>SUM(E159:R159)</f>
        <v>0</v>
      </c>
      <c r="E159" s="55"/>
      <c r="F159" s="55"/>
      <c r="G159" s="77"/>
      <c r="H159" s="77"/>
      <c r="I159" s="77"/>
      <c r="J159" s="34"/>
      <c r="K159" s="55"/>
      <c r="L159" s="150"/>
      <c r="M159" s="149"/>
      <c r="N159" s="149"/>
      <c r="O159" s="56"/>
      <c r="P159" s="181"/>
      <c r="Q159" s="149"/>
      <c r="R159" s="56"/>
      <c r="S159" s="117"/>
      <c r="T159" s="117"/>
    </row>
    <row r="160" spans="1:20" s="23" customFormat="1" ht="15.75" customHeight="1" hidden="1">
      <c r="A160" s="76"/>
      <c r="B160" s="12"/>
      <c r="C160" s="13" t="s">
        <v>326</v>
      </c>
      <c r="D160" s="14">
        <f>SUM(E160:R160)</f>
        <v>0</v>
      </c>
      <c r="E160" s="55"/>
      <c r="F160" s="55"/>
      <c r="G160" s="77"/>
      <c r="H160" s="77"/>
      <c r="I160" s="77"/>
      <c r="J160" s="34"/>
      <c r="K160" s="55"/>
      <c r="L160" s="150"/>
      <c r="M160" s="149"/>
      <c r="N160" s="149"/>
      <c r="O160" s="56"/>
      <c r="P160" s="181"/>
      <c r="Q160" s="149"/>
      <c r="R160" s="56"/>
      <c r="S160" s="117"/>
      <c r="T160" s="117"/>
    </row>
    <row r="161" spans="1:20" s="23" customFormat="1" ht="15.75" customHeight="1">
      <c r="A161" s="76"/>
      <c r="B161" s="12"/>
      <c r="C161" s="13" t="s">
        <v>283</v>
      </c>
      <c r="D161" s="14">
        <f>SUM(E161:R161)</f>
        <v>143080194</v>
      </c>
      <c r="E161" s="55">
        <f>'[3]주택사업'!$E$17-'[15]기타특별회계'!$F$44</f>
        <v>7865</v>
      </c>
      <c r="F161" s="55"/>
      <c r="G161" s="77"/>
      <c r="H161" s="77"/>
      <c r="I161" s="77"/>
      <c r="J161" s="34"/>
      <c r="K161" s="55"/>
      <c r="L161" s="150">
        <f>'[10]농공단지'!$E$28+'[15]기타특별회계'!$H$47</f>
        <v>143072329</v>
      </c>
      <c r="M161" s="149"/>
      <c r="N161" s="149"/>
      <c r="O161" s="56"/>
      <c r="P161" s="181"/>
      <c r="Q161" s="149"/>
      <c r="R161" s="56"/>
      <c r="S161" s="117"/>
      <c r="T161" s="117">
        <f t="shared" si="68"/>
        <v>0</v>
      </c>
    </row>
    <row r="162" spans="1:20" s="23" customFormat="1" ht="15.75" customHeight="1">
      <c r="A162" s="27"/>
      <c r="B162" s="9"/>
      <c r="C162" s="44"/>
      <c r="D162" s="14">
        <f>SUM(E162:K162)</f>
        <v>0</v>
      </c>
      <c r="E162" s="55"/>
      <c r="F162" s="55"/>
      <c r="G162" s="55"/>
      <c r="H162" s="55"/>
      <c r="I162" s="55"/>
      <c r="J162" s="55"/>
      <c r="K162" s="55"/>
      <c r="L162" s="149"/>
      <c r="M162" s="149"/>
      <c r="N162" s="149"/>
      <c r="O162" s="56"/>
      <c r="P162" s="181"/>
      <c r="Q162" s="149"/>
      <c r="R162" s="56"/>
      <c r="S162" s="117">
        <f aca="true" t="shared" si="78" ref="S162:S169">D162-SUM(E162:R162)</f>
        <v>0</v>
      </c>
      <c r="T162" s="117">
        <f t="shared" si="68"/>
        <v>0</v>
      </c>
    </row>
    <row r="163" spans="1:20" s="5" customFormat="1" ht="15.75" customHeight="1">
      <c r="A163" s="276" t="s">
        <v>6</v>
      </c>
      <c r="B163" s="277"/>
      <c r="C163" s="278"/>
      <c r="D163" s="19">
        <f>D164</f>
        <v>6495714060</v>
      </c>
      <c r="E163" s="19">
        <f aca="true" t="shared" si="79" ref="E163:R164">E164</f>
        <v>714060</v>
      </c>
      <c r="F163" s="19">
        <f t="shared" si="79"/>
        <v>0</v>
      </c>
      <c r="G163" s="19">
        <f t="shared" si="79"/>
        <v>0</v>
      </c>
      <c r="H163" s="19">
        <f t="shared" si="79"/>
        <v>0</v>
      </c>
      <c r="I163" s="19">
        <f t="shared" si="79"/>
        <v>0</v>
      </c>
      <c r="J163" s="19">
        <f t="shared" si="79"/>
        <v>0</v>
      </c>
      <c r="K163" s="19">
        <f t="shared" si="79"/>
        <v>0</v>
      </c>
      <c r="L163" s="19">
        <f t="shared" si="79"/>
        <v>6495000000</v>
      </c>
      <c r="M163" s="19">
        <f t="shared" si="79"/>
        <v>0</v>
      </c>
      <c r="N163" s="19">
        <f t="shared" si="79"/>
        <v>0</v>
      </c>
      <c r="O163" s="28">
        <f t="shared" si="79"/>
        <v>0</v>
      </c>
      <c r="P163" s="176">
        <f t="shared" si="79"/>
        <v>0</v>
      </c>
      <c r="Q163" s="19">
        <f t="shared" si="79"/>
        <v>0</v>
      </c>
      <c r="R163" s="19">
        <f t="shared" si="79"/>
        <v>0</v>
      </c>
      <c r="S163" s="117">
        <f t="shared" si="78"/>
        <v>0</v>
      </c>
      <c r="T163" s="117">
        <f t="shared" si="68"/>
        <v>0</v>
      </c>
    </row>
    <row r="164" spans="1:20" s="5" customFormat="1" ht="15.75" customHeight="1">
      <c r="A164" s="27"/>
      <c r="B164" s="277" t="s">
        <v>5</v>
      </c>
      <c r="C164" s="278"/>
      <c r="D164" s="19">
        <f>D165</f>
        <v>6495714060</v>
      </c>
      <c r="E164" s="19">
        <f t="shared" si="79"/>
        <v>714060</v>
      </c>
      <c r="F164" s="19">
        <f t="shared" si="79"/>
        <v>0</v>
      </c>
      <c r="G164" s="19">
        <f t="shared" si="79"/>
        <v>0</v>
      </c>
      <c r="H164" s="19">
        <f t="shared" si="79"/>
        <v>0</v>
      </c>
      <c r="I164" s="19">
        <f t="shared" si="79"/>
        <v>0</v>
      </c>
      <c r="J164" s="19">
        <f t="shared" si="79"/>
        <v>0</v>
      </c>
      <c r="K164" s="19">
        <f t="shared" si="79"/>
        <v>0</v>
      </c>
      <c r="L164" s="19">
        <f t="shared" si="79"/>
        <v>6495000000</v>
      </c>
      <c r="M164" s="19">
        <f t="shared" si="79"/>
        <v>0</v>
      </c>
      <c r="N164" s="19">
        <f t="shared" si="79"/>
        <v>0</v>
      </c>
      <c r="O164" s="28">
        <f t="shared" si="79"/>
        <v>0</v>
      </c>
      <c r="P164" s="176">
        <f t="shared" si="79"/>
        <v>0</v>
      </c>
      <c r="Q164" s="19">
        <f t="shared" si="79"/>
        <v>0</v>
      </c>
      <c r="R164" s="19">
        <f t="shared" si="79"/>
        <v>0</v>
      </c>
      <c r="S164" s="117">
        <f t="shared" si="78"/>
        <v>0</v>
      </c>
      <c r="T164" s="117">
        <f t="shared" si="68"/>
        <v>0</v>
      </c>
    </row>
    <row r="165" spans="1:20" s="23" customFormat="1" ht="15.75" customHeight="1">
      <c r="A165" s="27"/>
      <c r="B165" s="9"/>
      <c r="C165" s="13" t="s">
        <v>5</v>
      </c>
      <c r="D165" s="14">
        <f>SUM(E165:R165)</f>
        <v>6495714060</v>
      </c>
      <c r="E165" s="55">
        <f>'[3]주택사업'!$E$19-'[15]기타특별회계'!$F$34-'[15]기타특별회계'!$F$36</f>
        <v>714060</v>
      </c>
      <c r="F165" s="55"/>
      <c r="G165" s="55"/>
      <c r="H165" s="55"/>
      <c r="I165" s="55"/>
      <c r="J165" s="55"/>
      <c r="K165" s="55"/>
      <c r="L165" s="149">
        <f>'[10]농공단지'!$E$30-'[15]기타특별회계'!$F$38</f>
        <v>6495000000</v>
      </c>
      <c r="M165" s="149"/>
      <c r="N165" s="149"/>
      <c r="O165" s="56"/>
      <c r="P165" s="181"/>
      <c r="Q165" s="149"/>
      <c r="R165" s="56"/>
      <c r="S165" s="117">
        <f t="shared" si="78"/>
        <v>0</v>
      </c>
      <c r="T165" s="117">
        <f t="shared" si="68"/>
        <v>0</v>
      </c>
    </row>
    <row r="166" spans="1:20" s="23" customFormat="1" ht="15.75" customHeight="1" hidden="1">
      <c r="A166" s="27"/>
      <c r="B166" s="9"/>
      <c r="C166" s="13"/>
      <c r="D166" s="14"/>
      <c r="E166" s="55"/>
      <c r="F166" s="55"/>
      <c r="G166" s="55"/>
      <c r="H166" s="55"/>
      <c r="I166" s="55"/>
      <c r="J166" s="55"/>
      <c r="K166" s="55"/>
      <c r="L166" s="149"/>
      <c r="M166" s="149"/>
      <c r="N166" s="149"/>
      <c r="O166" s="56"/>
      <c r="P166" s="181"/>
      <c r="Q166" s="149"/>
      <c r="R166" s="56"/>
      <c r="S166" s="117">
        <f t="shared" si="78"/>
        <v>0</v>
      </c>
      <c r="T166" s="117">
        <f t="shared" si="68"/>
        <v>0</v>
      </c>
    </row>
    <row r="167" spans="1:20" s="23" customFormat="1" ht="15.75" customHeight="1" hidden="1">
      <c r="A167" s="276" t="s">
        <v>297</v>
      </c>
      <c r="B167" s="277"/>
      <c r="C167" s="278"/>
      <c r="D167" s="19">
        <f>D168+D171</f>
        <v>0</v>
      </c>
      <c r="E167" s="19">
        <f aca="true" t="shared" si="80" ref="E167:R167">E168+E171</f>
        <v>0</v>
      </c>
      <c r="F167" s="19">
        <f t="shared" si="80"/>
        <v>0</v>
      </c>
      <c r="G167" s="19">
        <f t="shared" si="80"/>
        <v>0</v>
      </c>
      <c r="H167" s="19">
        <f t="shared" si="80"/>
        <v>0</v>
      </c>
      <c r="I167" s="19">
        <f t="shared" si="80"/>
        <v>0</v>
      </c>
      <c r="J167" s="19">
        <f t="shared" si="80"/>
        <v>0</v>
      </c>
      <c r="K167" s="19">
        <f t="shared" si="80"/>
        <v>0</v>
      </c>
      <c r="L167" s="19">
        <f t="shared" si="80"/>
        <v>0</v>
      </c>
      <c r="M167" s="19">
        <f t="shared" si="80"/>
        <v>0</v>
      </c>
      <c r="N167" s="19">
        <f t="shared" si="80"/>
        <v>0</v>
      </c>
      <c r="O167" s="28">
        <f t="shared" si="80"/>
        <v>0</v>
      </c>
      <c r="P167" s="176">
        <f t="shared" si="80"/>
        <v>0</v>
      </c>
      <c r="Q167" s="19">
        <f t="shared" si="80"/>
        <v>0</v>
      </c>
      <c r="R167" s="19">
        <f t="shared" si="80"/>
        <v>0</v>
      </c>
      <c r="S167" s="117">
        <f t="shared" si="78"/>
        <v>0</v>
      </c>
      <c r="T167" s="117">
        <f t="shared" si="68"/>
        <v>0</v>
      </c>
    </row>
    <row r="168" spans="1:20" s="23" customFormat="1" ht="15.75" customHeight="1" hidden="1">
      <c r="A168" s="27"/>
      <c r="B168" s="277" t="s">
        <v>156</v>
      </c>
      <c r="C168" s="278"/>
      <c r="D168" s="19">
        <f>D169+D170</f>
        <v>0</v>
      </c>
      <c r="E168" s="19">
        <f aca="true" t="shared" si="81" ref="E168:R168">E169+E170</f>
        <v>0</v>
      </c>
      <c r="F168" s="19">
        <f t="shared" si="81"/>
        <v>0</v>
      </c>
      <c r="G168" s="19">
        <f t="shared" si="81"/>
        <v>0</v>
      </c>
      <c r="H168" s="19">
        <f t="shared" si="81"/>
        <v>0</v>
      </c>
      <c r="I168" s="19">
        <f t="shared" si="81"/>
        <v>0</v>
      </c>
      <c r="J168" s="19">
        <f t="shared" si="81"/>
        <v>0</v>
      </c>
      <c r="K168" s="19">
        <f t="shared" si="81"/>
        <v>0</v>
      </c>
      <c r="L168" s="19">
        <f t="shared" si="81"/>
        <v>0</v>
      </c>
      <c r="M168" s="19">
        <f t="shared" si="81"/>
        <v>0</v>
      </c>
      <c r="N168" s="19">
        <f t="shared" si="81"/>
        <v>0</v>
      </c>
      <c r="O168" s="28">
        <f t="shared" si="81"/>
        <v>0</v>
      </c>
      <c r="P168" s="176">
        <f t="shared" si="81"/>
        <v>0</v>
      </c>
      <c r="Q168" s="19">
        <f t="shared" si="81"/>
        <v>0</v>
      </c>
      <c r="R168" s="19">
        <f t="shared" si="81"/>
        <v>0</v>
      </c>
      <c r="S168" s="117">
        <f t="shared" si="78"/>
        <v>0</v>
      </c>
      <c r="T168" s="117">
        <f t="shared" si="68"/>
        <v>0</v>
      </c>
    </row>
    <row r="169" spans="1:20" s="23" customFormat="1" ht="15" customHeight="1" hidden="1">
      <c r="A169" s="76"/>
      <c r="B169" s="12"/>
      <c r="C169" s="13" t="s">
        <v>156</v>
      </c>
      <c r="D169" s="14">
        <f>SUM(E169:R169)</f>
        <v>0</v>
      </c>
      <c r="E169" s="55"/>
      <c r="F169" s="55"/>
      <c r="G169" s="55"/>
      <c r="H169" s="55"/>
      <c r="I169" s="55"/>
      <c r="J169" s="55"/>
      <c r="K169" s="55"/>
      <c r="L169" s="149"/>
      <c r="M169" s="149"/>
      <c r="N169" s="149"/>
      <c r="O169" s="56"/>
      <c r="P169" s="181"/>
      <c r="Q169" s="149"/>
      <c r="R169" s="56"/>
      <c r="S169" s="141">
        <f t="shared" si="78"/>
        <v>0</v>
      </c>
      <c r="T169" s="141">
        <f t="shared" si="68"/>
        <v>0</v>
      </c>
    </row>
    <row r="170" spans="1:20" s="23" customFormat="1" ht="15.75" customHeight="1" hidden="1">
      <c r="A170" s="27"/>
      <c r="B170" s="9"/>
      <c r="C170" s="13" t="s">
        <v>214</v>
      </c>
      <c r="D170" s="14">
        <f>SUM(E170:R170)</f>
        <v>0</v>
      </c>
      <c r="E170" s="54"/>
      <c r="F170" s="54"/>
      <c r="G170" s="54"/>
      <c r="H170" s="54"/>
      <c r="I170" s="54"/>
      <c r="J170" s="54"/>
      <c r="K170" s="54"/>
      <c r="L170" s="152"/>
      <c r="M170" s="152"/>
      <c r="N170" s="152"/>
      <c r="O170" s="200"/>
      <c r="P170" s="86"/>
      <c r="Q170" s="152"/>
      <c r="R170" s="56"/>
      <c r="S170" s="117"/>
      <c r="T170" s="117">
        <f t="shared" si="68"/>
        <v>0</v>
      </c>
    </row>
    <row r="171" spans="1:20" s="5" customFormat="1" ht="15.75" customHeight="1" hidden="1">
      <c r="A171" s="27"/>
      <c r="B171" s="277" t="s">
        <v>298</v>
      </c>
      <c r="C171" s="278"/>
      <c r="D171" s="19">
        <f>D172+D173</f>
        <v>0</v>
      </c>
      <c r="E171" s="19">
        <f aca="true" t="shared" si="82" ref="E171:R171">E172+E173</f>
        <v>0</v>
      </c>
      <c r="F171" s="19">
        <f t="shared" si="82"/>
        <v>0</v>
      </c>
      <c r="G171" s="19">
        <f t="shared" si="82"/>
        <v>0</v>
      </c>
      <c r="H171" s="19">
        <f t="shared" si="82"/>
        <v>0</v>
      </c>
      <c r="I171" s="19">
        <f t="shared" si="82"/>
        <v>0</v>
      </c>
      <c r="J171" s="19">
        <f t="shared" si="82"/>
        <v>0</v>
      </c>
      <c r="K171" s="19">
        <f t="shared" si="82"/>
        <v>0</v>
      </c>
      <c r="L171" s="19">
        <f t="shared" si="82"/>
        <v>0</v>
      </c>
      <c r="M171" s="19">
        <f t="shared" si="82"/>
        <v>0</v>
      </c>
      <c r="N171" s="19">
        <f t="shared" si="82"/>
        <v>0</v>
      </c>
      <c r="O171" s="28">
        <f t="shared" si="82"/>
        <v>0</v>
      </c>
      <c r="P171" s="176">
        <f t="shared" si="82"/>
        <v>0</v>
      </c>
      <c r="Q171" s="19">
        <f t="shared" si="82"/>
        <v>0</v>
      </c>
      <c r="R171" s="19">
        <f t="shared" si="82"/>
        <v>0</v>
      </c>
      <c r="S171" s="117"/>
      <c r="T171" s="117"/>
    </row>
    <row r="172" spans="1:20" s="23" customFormat="1" ht="15.75" customHeight="1" hidden="1">
      <c r="A172" s="76"/>
      <c r="B172" s="12"/>
      <c r="C172" s="13" t="s">
        <v>299</v>
      </c>
      <c r="D172" s="14">
        <f>SUM(E172:R172)</f>
        <v>0</v>
      </c>
      <c r="E172" s="55"/>
      <c r="F172" s="55"/>
      <c r="G172" s="55"/>
      <c r="H172" s="55"/>
      <c r="I172" s="55"/>
      <c r="J172" s="55"/>
      <c r="K172" s="55"/>
      <c r="L172" s="149"/>
      <c r="M172" s="149"/>
      <c r="N172" s="149"/>
      <c r="O172" s="56"/>
      <c r="P172" s="181"/>
      <c r="Q172" s="149"/>
      <c r="R172" s="56"/>
      <c r="S172" s="141"/>
      <c r="T172" s="141"/>
    </row>
    <row r="173" spans="1:20" s="23" customFormat="1" ht="15.75" customHeight="1" hidden="1">
      <c r="A173" s="76"/>
      <c r="B173" s="12"/>
      <c r="C173" s="13" t="s">
        <v>298</v>
      </c>
      <c r="D173" s="14">
        <f>SUM(E173:R173)</f>
        <v>0</v>
      </c>
      <c r="E173" s="55"/>
      <c r="F173" s="55"/>
      <c r="G173" s="55"/>
      <c r="H173" s="55"/>
      <c r="I173" s="55"/>
      <c r="J173" s="55"/>
      <c r="K173" s="55"/>
      <c r="L173" s="149"/>
      <c r="M173" s="149"/>
      <c r="N173" s="149"/>
      <c r="O173" s="56"/>
      <c r="P173" s="181"/>
      <c r="Q173" s="149"/>
      <c r="R173" s="56"/>
      <c r="S173" s="141"/>
      <c r="T173" s="141"/>
    </row>
    <row r="174" spans="1:20" s="23" customFormat="1" ht="15.75" customHeight="1">
      <c r="A174" s="119"/>
      <c r="B174" s="10"/>
      <c r="C174" s="15" t="s">
        <v>31</v>
      </c>
      <c r="D174" s="19">
        <f>SUM(E174:K174)</f>
        <v>0</v>
      </c>
      <c r="E174" s="58"/>
      <c r="F174" s="58"/>
      <c r="G174" s="58"/>
      <c r="H174" s="58"/>
      <c r="I174" s="58"/>
      <c r="J174" s="58"/>
      <c r="K174" s="58"/>
      <c r="L174" s="153"/>
      <c r="M174" s="153"/>
      <c r="N174" s="153"/>
      <c r="O174" s="59"/>
      <c r="P174" s="187"/>
      <c r="Q174" s="153"/>
      <c r="R174" s="59"/>
      <c r="S174" s="117">
        <f aca="true" t="shared" si="83" ref="S174:S180">D174-SUM(E174:R174)</f>
        <v>0</v>
      </c>
      <c r="T174" s="117">
        <f t="shared" si="68"/>
        <v>0</v>
      </c>
    </row>
    <row r="175" spans="1:20" s="23" customFormat="1" ht="15.75" customHeight="1" thickBot="1">
      <c r="A175" s="283" t="s">
        <v>42</v>
      </c>
      <c r="B175" s="284"/>
      <c r="C175" s="285"/>
      <c r="D175" s="33">
        <f>D154+D163+D167</f>
        <v>8084957224</v>
      </c>
      <c r="E175" s="33">
        <f aca="true" t="shared" si="84" ref="E175:R175">E154+E163+E167</f>
        <v>7884895</v>
      </c>
      <c r="F175" s="33">
        <f t="shared" si="84"/>
        <v>0</v>
      </c>
      <c r="G175" s="33">
        <f t="shared" si="84"/>
        <v>0</v>
      </c>
      <c r="H175" s="33">
        <f t="shared" si="84"/>
        <v>0</v>
      </c>
      <c r="I175" s="33">
        <f t="shared" si="84"/>
        <v>0</v>
      </c>
      <c r="J175" s="33">
        <f t="shared" si="84"/>
        <v>0</v>
      </c>
      <c r="K175" s="33">
        <f t="shared" si="84"/>
        <v>0</v>
      </c>
      <c r="L175" s="33">
        <f t="shared" si="84"/>
        <v>8077072329</v>
      </c>
      <c r="M175" s="33">
        <f t="shared" si="84"/>
        <v>0</v>
      </c>
      <c r="N175" s="33">
        <f t="shared" si="84"/>
        <v>0</v>
      </c>
      <c r="O175" s="199">
        <f t="shared" si="84"/>
        <v>0</v>
      </c>
      <c r="P175" s="185">
        <f t="shared" si="84"/>
        <v>0</v>
      </c>
      <c r="Q175" s="33">
        <f t="shared" si="84"/>
        <v>0</v>
      </c>
      <c r="R175" s="33">
        <f t="shared" si="84"/>
        <v>0</v>
      </c>
      <c r="S175" s="117">
        <f t="shared" si="83"/>
        <v>0</v>
      </c>
      <c r="T175" s="117">
        <f t="shared" si="68"/>
        <v>0</v>
      </c>
    </row>
    <row r="176" spans="1:20" s="23" customFormat="1" ht="15.75" customHeight="1" thickTop="1">
      <c r="A176" s="119"/>
      <c r="B176" s="17"/>
      <c r="C176" s="18"/>
      <c r="D176" s="19">
        <f>SUM(E176:K176)</f>
        <v>0</v>
      </c>
      <c r="E176" s="19"/>
      <c r="F176" s="19"/>
      <c r="G176" s="19"/>
      <c r="H176" s="19"/>
      <c r="I176" s="19"/>
      <c r="J176" s="19"/>
      <c r="K176" s="19"/>
      <c r="L176" s="145"/>
      <c r="M176" s="145"/>
      <c r="N176" s="145"/>
      <c r="O176" s="28"/>
      <c r="P176" s="186"/>
      <c r="Q176" s="145"/>
      <c r="R176" s="28"/>
      <c r="S176" s="117">
        <f t="shared" si="83"/>
        <v>0</v>
      </c>
      <c r="T176" s="117">
        <f t="shared" si="68"/>
        <v>0</v>
      </c>
    </row>
    <row r="177" spans="1:20" s="23" customFormat="1" ht="15.75" customHeight="1">
      <c r="A177" s="289" t="s">
        <v>53</v>
      </c>
      <c r="B177" s="290"/>
      <c r="C177" s="291"/>
      <c r="D177" s="19">
        <f>SUM(E177:K177)</f>
        <v>0</v>
      </c>
      <c r="E177" s="20"/>
      <c r="F177" s="20"/>
      <c r="G177" s="20"/>
      <c r="H177" s="20"/>
      <c r="I177" s="20"/>
      <c r="J177" s="20"/>
      <c r="K177" s="20"/>
      <c r="L177" s="154"/>
      <c r="M177" s="154"/>
      <c r="N177" s="154"/>
      <c r="O177" s="29"/>
      <c r="P177" s="188"/>
      <c r="Q177" s="154"/>
      <c r="R177" s="29"/>
      <c r="S177" s="117">
        <f t="shared" si="83"/>
        <v>0</v>
      </c>
      <c r="T177" s="117">
        <f t="shared" si="68"/>
        <v>0</v>
      </c>
    </row>
    <row r="178" spans="1:20" s="23" customFormat="1" ht="15.75" customHeight="1">
      <c r="A178" s="286" t="s">
        <v>53</v>
      </c>
      <c r="B178" s="287"/>
      <c r="C178" s="288"/>
      <c r="D178" s="19">
        <f>SUM(E178:K178)</f>
        <v>0</v>
      </c>
      <c r="E178" s="20"/>
      <c r="F178" s="20"/>
      <c r="G178" s="20"/>
      <c r="H178" s="20"/>
      <c r="I178" s="20"/>
      <c r="J178" s="20"/>
      <c r="K178" s="20"/>
      <c r="L178" s="154"/>
      <c r="M178" s="154"/>
      <c r="N178" s="154"/>
      <c r="O178" s="29"/>
      <c r="P178" s="188"/>
      <c r="Q178" s="154"/>
      <c r="R178" s="29"/>
      <c r="S178" s="117">
        <f t="shared" si="83"/>
        <v>0</v>
      </c>
      <c r="T178" s="117">
        <f t="shared" si="68"/>
        <v>0</v>
      </c>
    </row>
    <row r="179" spans="1:20" s="23" customFormat="1" ht="15.75" customHeight="1">
      <c r="A179" s="4"/>
      <c r="B179" s="281" t="s">
        <v>54</v>
      </c>
      <c r="C179" s="282"/>
      <c r="D179" s="19">
        <f>D180</f>
        <v>-366690045</v>
      </c>
      <c r="E179" s="19">
        <f aca="true" t="shared" si="85" ref="E179:J179">E180</f>
        <v>0</v>
      </c>
      <c r="F179" s="19">
        <f t="shared" si="85"/>
        <v>228380830</v>
      </c>
      <c r="G179" s="19">
        <f t="shared" si="85"/>
        <v>392400</v>
      </c>
      <c r="H179" s="19">
        <f t="shared" si="85"/>
        <v>0</v>
      </c>
      <c r="I179" s="19">
        <f t="shared" si="85"/>
        <v>0</v>
      </c>
      <c r="J179" s="19">
        <f t="shared" si="85"/>
        <v>775291422</v>
      </c>
      <c r="K179" s="19">
        <f>K180</f>
        <v>0</v>
      </c>
      <c r="L179" s="19">
        <f aca="true" t="shared" si="86" ref="L179:R179">L180</f>
        <v>-1613662335</v>
      </c>
      <c r="M179" s="19">
        <f t="shared" si="86"/>
        <v>242907638</v>
      </c>
      <c r="N179" s="19">
        <f t="shared" si="86"/>
        <v>0</v>
      </c>
      <c r="O179" s="28">
        <f t="shared" si="86"/>
        <v>0</v>
      </c>
      <c r="P179" s="176">
        <f t="shared" si="86"/>
        <v>0</v>
      </c>
      <c r="Q179" s="19">
        <f t="shared" si="86"/>
        <v>0</v>
      </c>
      <c r="R179" s="19">
        <f t="shared" si="86"/>
        <v>0</v>
      </c>
      <c r="S179" s="117">
        <f t="shared" si="83"/>
        <v>0</v>
      </c>
      <c r="T179" s="117">
        <f>D179-SUM(E179:R179)</f>
        <v>0</v>
      </c>
    </row>
    <row r="180" spans="1:20" s="23" customFormat="1" ht="15.75" customHeight="1">
      <c r="A180" s="4"/>
      <c r="B180" s="123"/>
      <c r="C180" s="124" t="s">
        <v>54</v>
      </c>
      <c r="D180" s="14">
        <f>SUM(E180:R180)</f>
        <v>-366690045</v>
      </c>
      <c r="E180" s="21">
        <v>0</v>
      </c>
      <c r="F180" s="21">
        <f aca="true" t="shared" si="87" ref="F180:O180">F44+F72+F106-F155-F164</f>
        <v>228380830</v>
      </c>
      <c r="G180" s="21">
        <f t="shared" si="87"/>
        <v>392400</v>
      </c>
      <c r="H180" s="21">
        <f t="shared" si="87"/>
        <v>0</v>
      </c>
      <c r="I180" s="21">
        <f t="shared" si="87"/>
        <v>0</v>
      </c>
      <c r="J180" s="21">
        <f t="shared" si="87"/>
        <v>775291422</v>
      </c>
      <c r="K180" s="21">
        <f t="shared" si="87"/>
        <v>0</v>
      </c>
      <c r="L180" s="21">
        <f t="shared" si="87"/>
        <v>-1613662335</v>
      </c>
      <c r="M180" s="21">
        <f t="shared" si="87"/>
        <v>242907638</v>
      </c>
      <c r="N180" s="21">
        <f t="shared" si="87"/>
        <v>0</v>
      </c>
      <c r="O180" s="201">
        <f t="shared" si="87"/>
        <v>0</v>
      </c>
      <c r="P180" s="189">
        <f>P44+P72+P106-P155-P164</f>
        <v>0</v>
      </c>
      <c r="Q180" s="21">
        <f>Q44+Q72+Q106-Q155-Q164</f>
        <v>0</v>
      </c>
      <c r="R180" s="21">
        <f>R44+R72+R106-R155-R164</f>
        <v>0</v>
      </c>
      <c r="S180" s="117">
        <f t="shared" si="83"/>
        <v>0</v>
      </c>
      <c r="T180" s="117">
        <f t="shared" si="68"/>
        <v>0</v>
      </c>
    </row>
    <row r="181" spans="1:20" s="23" customFormat="1" ht="15.75" customHeight="1">
      <c r="A181" s="4"/>
      <c r="B181" s="281" t="s">
        <v>43</v>
      </c>
      <c r="C181" s="282"/>
      <c r="D181" s="19">
        <f>SUM(E181:K181)</f>
        <v>0</v>
      </c>
      <c r="E181" s="19">
        <f>SUM(F181:L181)</f>
        <v>0</v>
      </c>
      <c r="F181" s="19">
        <f aca="true" t="shared" si="88" ref="F181:L181">SUM(G181:R181)</f>
        <v>0</v>
      </c>
      <c r="G181" s="19">
        <f t="shared" si="88"/>
        <v>0</v>
      </c>
      <c r="H181" s="19">
        <f t="shared" si="88"/>
        <v>0</v>
      </c>
      <c r="I181" s="19">
        <f t="shared" si="88"/>
        <v>0</v>
      </c>
      <c r="J181" s="19">
        <f t="shared" si="88"/>
        <v>0</v>
      </c>
      <c r="K181" s="19">
        <f t="shared" si="88"/>
        <v>0</v>
      </c>
      <c r="L181" s="19">
        <f t="shared" si="88"/>
        <v>0</v>
      </c>
      <c r="M181" s="19">
        <f aca="true" t="shared" si="89" ref="M181:R181">SUM(N181:Y181)</f>
        <v>0</v>
      </c>
      <c r="N181" s="19">
        <f t="shared" si="89"/>
        <v>0</v>
      </c>
      <c r="O181" s="28">
        <f t="shared" si="89"/>
        <v>0</v>
      </c>
      <c r="P181" s="176">
        <f t="shared" si="89"/>
        <v>0</v>
      </c>
      <c r="Q181" s="19">
        <f t="shared" si="89"/>
        <v>0</v>
      </c>
      <c r="R181" s="19">
        <f t="shared" si="89"/>
        <v>0</v>
      </c>
      <c r="S181" s="117" t="s">
        <v>47</v>
      </c>
      <c r="T181" s="117" t="s">
        <v>47</v>
      </c>
    </row>
    <row r="182" spans="1:20" s="23" customFormat="1" ht="15.75" customHeight="1">
      <c r="A182" s="4"/>
      <c r="B182" s="123"/>
      <c r="C182" s="124" t="s">
        <v>43</v>
      </c>
      <c r="D182" s="19">
        <f>SUM(E182:K182)</f>
        <v>0</v>
      </c>
      <c r="E182" s="19">
        <f>SUM(F182:K182)</f>
        <v>0</v>
      </c>
      <c r="F182" s="19">
        <f>SUM(G182:K182)</f>
        <v>0</v>
      </c>
      <c r="G182" s="19">
        <f>SUM(J182:K182)</f>
        <v>0</v>
      </c>
      <c r="H182" s="19"/>
      <c r="I182" s="19"/>
      <c r="J182" s="19">
        <f>SUM(K182:K182)</f>
        <v>0</v>
      </c>
      <c r="K182" s="19">
        <f>SUM(R182:R182)</f>
        <v>0</v>
      </c>
      <c r="L182" s="19">
        <f>SUM(S182:S182)</f>
        <v>0</v>
      </c>
      <c r="M182" s="19">
        <f aca="true" t="shared" si="90" ref="M182:R182">SUM(T182:T182)</f>
        <v>0</v>
      </c>
      <c r="N182" s="19">
        <f t="shared" si="90"/>
        <v>0</v>
      </c>
      <c r="O182" s="28">
        <f t="shared" si="90"/>
        <v>0</v>
      </c>
      <c r="P182" s="176">
        <f t="shared" si="90"/>
        <v>0</v>
      </c>
      <c r="Q182" s="19">
        <f t="shared" si="90"/>
        <v>0</v>
      </c>
      <c r="R182" s="19">
        <f t="shared" si="90"/>
        <v>0</v>
      </c>
      <c r="S182" s="117" t="s">
        <v>47</v>
      </c>
      <c r="T182" s="117" t="s">
        <v>47</v>
      </c>
    </row>
    <row r="183" spans="1:20" s="23" customFormat="1" ht="15.75" customHeight="1">
      <c r="A183" s="4"/>
      <c r="B183" s="281" t="s">
        <v>44</v>
      </c>
      <c r="C183" s="282"/>
      <c r="D183" s="74">
        <f>D184</f>
        <v>11990276655</v>
      </c>
      <c r="E183" s="74">
        <f aca="true" t="shared" si="91" ref="E183:R183">E184</f>
        <v>400703685</v>
      </c>
      <c r="F183" s="74">
        <f>F184</f>
        <v>1409880010</v>
      </c>
      <c r="G183" s="74">
        <f t="shared" si="91"/>
        <v>193680</v>
      </c>
      <c r="H183" s="74">
        <f t="shared" si="91"/>
        <v>964956620</v>
      </c>
      <c r="I183" s="74">
        <f t="shared" si="91"/>
        <v>1147082495</v>
      </c>
      <c r="J183" s="74">
        <f t="shared" si="91"/>
        <v>2340066972</v>
      </c>
      <c r="K183" s="74">
        <f t="shared" si="91"/>
        <v>2333838326</v>
      </c>
      <c r="L183" s="74">
        <f t="shared" si="91"/>
        <v>2361225577</v>
      </c>
      <c r="M183" s="74">
        <f t="shared" si="91"/>
        <v>1032329290</v>
      </c>
      <c r="N183" s="74">
        <f t="shared" si="91"/>
        <v>0</v>
      </c>
      <c r="O183" s="202">
        <f t="shared" si="91"/>
        <v>0</v>
      </c>
      <c r="P183" s="190">
        <f t="shared" si="91"/>
        <v>0</v>
      </c>
      <c r="Q183" s="74">
        <f t="shared" si="91"/>
        <v>0</v>
      </c>
      <c r="R183" s="74">
        <f t="shared" si="91"/>
        <v>0</v>
      </c>
      <c r="S183" s="117">
        <f>D183-SUM(E183:R183)</f>
        <v>0</v>
      </c>
      <c r="T183" s="117">
        <f>D183-SUM(E183:R183)</f>
        <v>0</v>
      </c>
    </row>
    <row r="184" spans="1:20" s="23" customFormat="1" ht="15.75" customHeight="1">
      <c r="A184" s="119"/>
      <c r="B184" s="123"/>
      <c r="C184" s="124" t="s">
        <v>44</v>
      </c>
      <c r="D184" s="14">
        <f>SUM(E184:R184)</f>
        <v>11990276655</v>
      </c>
      <c r="E184" s="79">
        <f aca="true" t="shared" si="92" ref="E184:R184">E185-E180</f>
        <v>400703685</v>
      </c>
      <c r="F184" s="79">
        <f t="shared" si="92"/>
        <v>1409880010</v>
      </c>
      <c r="G184" s="79">
        <f t="shared" si="92"/>
        <v>193680</v>
      </c>
      <c r="H184" s="79">
        <f t="shared" si="92"/>
        <v>964956620</v>
      </c>
      <c r="I184" s="79">
        <f t="shared" si="92"/>
        <v>1147082495</v>
      </c>
      <c r="J184" s="79">
        <f t="shared" si="92"/>
        <v>2340066972</v>
      </c>
      <c r="K184" s="79">
        <f t="shared" si="92"/>
        <v>2333838326</v>
      </c>
      <c r="L184" s="79">
        <f t="shared" si="92"/>
        <v>2361225577</v>
      </c>
      <c r="M184" s="79">
        <f t="shared" si="92"/>
        <v>1032329290</v>
      </c>
      <c r="N184" s="158"/>
      <c r="O184" s="203"/>
      <c r="P184" s="191"/>
      <c r="Q184" s="158"/>
      <c r="R184" s="60">
        <f t="shared" si="92"/>
        <v>0</v>
      </c>
      <c r="S184" s="117">
        <f>D184-SUM(E184:R184)</f>
        <v>0</v>
      </c>
      <c r="T184" s="117">
        <f>D184-SUM(E184:R184)</f>
        <v>0</v>
      </c>
    </row>
    <row r="185" spans="1:20" s="23" customFormat="1" ht="15.75" customHeight="1" thickBot="1">
      <c r="A185" s="283" t="s">
        <v>45</v>
      </c>
      <c r="B185" s="284"/>
      <c r="C185" s="285"/>
      <c r="D185" s="78">
        <f aca="true" t="shared" si="93" ref="D185:R185">D151-D175</f>
        <v>12981047873</v>
      </c>
      <c r="E185" s="78">
        <f t="shared" si="93"/>
        <v>400703685</v>
      </c>
      <c r="F185" s="78">
        <f>F151-F175</f>
        <v>1638260840</v>
      </c>
      <c r="G185" s="78">
        <f t="shared" si="93"/>
        <v>586080</v>
      </c>
      <c r="H185" s="78">
        <f t="shared" si="93"/>
        <v>964956620</v>
      </c>
      <c r="I185" s="78">
        <f t="shared" si="93"/>
        <v>1147082495</v>
      </c>
      <c r="J185" s="78">
        <f t="shared" si="93"/>
        <v>3115358394</v>
      </c>
      <c r="K185" s="78">
        <f t="shared" si="93"/>
        <v>2333838326</v>
      </c>
      <c r="L185" s="78">
        <f t="shared" si="93"/>
        <v>747563242</v>
      </c>
      <c r="M185" s="78">
        <f t="shared" si="93"/>
        <v>1275236928</v>
      </c>
      <c r="N185" s="78">
        <f t="shared" si="93"/>
        <v>972991990</v>
      </c>
      <c r="O185" s="138">
        <f t="shared" si="93"/>
        <v>384469273</v>
      </c>
      <c r="P185" s="192">
        <f t="shared" si="93"/>
        <v>0</v>
      </c>
      <c r="Q185" s="78">
        <f t="shared" si="93"/>
        <v>0</v>
      </c>
      <c r="R185" s="78">
        <f t="shared" si="93"/>
        <v>0</v>
      </c>
      <c r="S185" s="117">
        <f>D185-SUM(E185:R185)</f>
        <v>0</v>
      </c>
      <c r="T185" s="117">
        <f>D185-SUM(E185:R185)</f>
        <v>0</v>
      </c>
    </row>
    <row r="186" spans="1:20" s="23" customFormat="1" ht="15.75" customHeight="1" thickTop="1">
      <c r="A186" s="119"/>
      <c r="B186" s="22"/>
      <c r="C186" s="125"/>
      <c r="D186" s="19">
        <f>SUM(E186:K186)</f>
        <v>0</v>
      </c>
      <c r="E186" s="19">
        <f>SUM(F186:K186)</f>
        <v>0</v>
      </c>
      <c r="F186" s="19">
        <f>SUM(G186:K186)</f>
        <v>0</v>
      </c>
      <c r="G186" s="19">
        <f>SUM(J186:K186)</f>
        <v>0</v>
      </c>
      <c r="H186" s="19"/>
      <c r="I186" s="19"/>
      <c r="J186" s="19">
        <f>SUM(K186:K186)</f>
        <v>0</v>
      </c>
      <c r="K186" s="19">
        <f>SUM(R186:R186)</f>
        <v>0</v>
      </c>
      <c r="L186" s="145"/>
      <c r="M186" s="145"/>
      <c r="N186" s="145"/>
      <c r="O186" s="28"/>
      <c r="P186" s="186"/>
      <c r="Q186" s="145"/>
      <c r="R186" s="28">
        <f>SUM(S186:X186)</f>
        <v>0</v>
      </c>
      <c r="S186" s="117" t="s">
        <v>47</v>
      </c>
      <c r="T186" s="117" t="s">
        <v>47</v>
      </c>
    </row>
    <row r="187" spans="1:20" s="23" customFormat="1" ht="15.75" customHeight="1" thickBot="1">
      <c r="A187" s="283" t="s">
        <v>46</v>
      </c>
      <c r="B187" s="284"/>
      <c r="C187" s="285"/>
      <c r="D187" s="35">
        <f aca="true" t="shared" si="94" ref="D187:R187">D175+D185</f>
        <v>21066005097</v>
      </c>
      <c r="E187" s="35">
        <f t="shared" si="94"/>
        <v>408588580</v>
      </c>
      <c r="F187" s="35">
        <f>F175+F185</f>
        <v>1638260840</v>
      </c>
      <c r="G187" s="35">
        <f t="shared" si="94"/>
        <v>586080</v>
      </c>
      <c r="H187" s="35">
        <f t="shared" si="94"/>
        <v>964956620</v>
      </c>
      <c r="I187" s="35">
        <f t="shared" si="94"/>
        <v>1147082495</v>
      </c>
      <c r="J187" s="35">
        <f t="shared" si="94"/>
        <v>3115358394</v>
      </c>
      <c r="K187" s="35">
        <f t="shared" si="94"/>
        <v>2333838326</v>
      </c>
      <c r="L187" s="35">
        <f t="shared" si="94"/>
        <v>8824635571</v>
      </c>
      <c r="M187" s="35">
        <f t="shared" si="94"/>
        <v>1275236928</v>
      </c>
      <c r="N187" s="35">
        <f t="shared" si="94"/>
        <v>972991990</v>
      </c>
      <c r="O187" s="204">
        <f t="shared" si="94"/>
        <v>384469273</v>
      </c>
      <c r="P187" s="193">
        <f t="shared" si="94"/>
        <v>0</v>
      </c>
      <c r="Q187" s="35">
        <f t="shared" si="94"/>
        <v>0</v>
      </c>
      <c r="R187" s="35">
        <f t="shared" si="94"/>
        <v>0</v>
      </c>
      <c r="S187" s="117">
        <f>D187-SUM(E187:R187)</f>
        <v>0</v>
      </c>
      <c r="T187" s="117" t="s">
        <v>226</v>
      </c>
    </row>
    <row r="188" spans="1:20" s="23" customFormat="1" ht="15.75" customHeight="1" thickBot="1" thickTop="1">
      <c r="A188" s="126"/>
      <c r="B188" s="127"/>
      <c r="C188" s="128"/>
      <c r="D188" s="70"/>
      <c r="E188" s="31"/>
      <c r="F188" s="31"/>
      <c r="G188" s="31"/>
      <c r="H188" s="31"/>
      <c r="I188" s="31"/>
      <c r="J188" s="31"/>
      <c r="K188" s="31"/>
      <c r="L188" s="155"/>
      <c r="M188" s="155"/>
      <c r="N188" s="155"/>
      <c r="O188" s="32"/>
      <c r="P188" s="194"/>
      <c r="Q188" s="155"/>
      <c r="R188" s="32"/>
      <c r="T188" s="117">
        <f>D188-SUM(E188:R188)</f>
        <v>0</v>
      </c>
    </row>
    <row r="189" ht="13.5">
      <c r="T189" s="117">
        <f>D189-SUM(E189:R189)</f>
        <v>0</v>
      </c>
    </row>
    <row r="190" spans="4:20" ht="13.5">
      <c r="D190" s="130" t="s">
        <v>128</v>
      </c>
      <c r="E190" s="131" t="s">
        <v>47</v>
      </c>
      <c r="J190" s="132" t="s">
        <v>65</v>
      </c>
      <c r="T190" s="117" t="s">
        <v>226</v>
      </c>
    </row>
    <row r="191" ht="13.5">
      <c r="T191" s="117">
        <f>D191-SUM(E191:R191)</f>
        <v>0</v>
      </c>
    </row>
    <row r="192" spans="4:20" ht="13.5">
      <c r="D192" s="130">
        <f aca="true" t="shared" si="95" ref="D192:R192">D151-D187</f>
        <v>0</v>
      </c>
      <c r="E192" s="130">
        <f t="shared" si="95"/>
        <v>0</v>
      </c>
      <c r="F192" s="130">
        <f t="shared" si="95"/>
        <v>0</v>
      </c>
      <c r="G192" s="130">
        <f t="shared" si="95"/>
        <v>0</v>
      </c>
      <c r="H192" s="130"/>
      <c r="I192" s="130"/>
      <c r="J192" s="130">
        <f t="shared" si="95"/>
        <v>0</v>
      </c>
      <c r="K192" s="130">
        <f t="shared" si="95"/>
        <v>0</v>
      </c>
      <c r="L192" s="130"/>
      <c r="M192" s="130"/>
      <c r="N192" s="130"/>
      <c r="O192" s="130"/>
      <c r="P192" s="130"/>
      <c r="Q192" s="130"/>
      <c r="R192" s="130">
        <f t="shared" si="95"/>
        <v>0</v>
      </c>
      <c r="T192" s="117">
        <f>D192-SUM(E192:R192)</f>
        <v>0</v>
      </c>
    </row>
    <row r="193" spans="4:20" ht="13.5" hidden="1">
      <c r="D193" s="133">
        <f aca="true" t="shared" si="96" ref="D193:R193">D151-D175-D185</f>
        <v>0</v>
      </c>
      <c r="E193" s="133">
        <f t="shared" si="96"/>
        <v>0</v>
      </c>
      <c r="F193" s="133">
        <f t="shared" si="96"/>
        <v>0</v>
      </c>
      <c r="G193" s="133">
        <f t="shared" si="96"/>
        <v>0</v>
      </c>
      <c r="H193" s="133">
        <f t="shared" si="96"/>
        <v>0</v>
      </c>
      <c r="I193" s="133">
        <f t="shared" si="96"/>
        <v>0</v>
      </c>
      <c r="J193" s="133">
        <f t="shared" si="96"/>
        <v>0</v>
      </c>
      <c r="K193" s="133">
        <f t="shared" si="96"/>
        <v>0</v>
      </c>
      <c r="L193" s="133">
        <f t="shared" si="96"/>
        <v>0</v>
      </c>
      <c r="M193" s="133">
        <f t="shared" si="96"/>
        <v>0</v>
      </c>
      <c r="N193" s="133">
        <f t="shared" si="96"/>
        <v>0</v>
      </c>
      <c r="O193" s="133">
        <f t="shared" si="96"/>
        <v>0</v>
      </c>
      <c r="P193" s="133">
        <f t="shared" si="96"/>
        <v>0</v>
      </c>
      <c r="Q193" s="133">
        <f t="shared" si="96"/>
        <v>0</v>
      </c>
      <c r="R193" s="133">
        <f t="shared" si="96"/>
        <v>0</v>
      </c>
      <c r="T193" s="117">
        <f>D193-SUM(E193:R193)</f>
        <v>0</v>
      </c>
    </row>
    <row r="194" spans="4:18" ht="13.5">
      <c r="D194" s="130">
        <f>D151-D187</f>
        <v>0</v>
      </c>
      <c r="E194" s="130">
        <f>E151-E187</f>
        <v>0</v>
      </c>
      <c r="F194" s="130">
        <f>F151-F187</f>
        <v>0</v>
      </c>
      <c r="G194" s="130">
        <f>G151-G187</f>
        <v>0</v>
      </c>
      <c r="H194" s="130"/>
      <c r="I194" s="130"/>
      <c r="J194" s="130">
        <f>J151-J187</f>
        <v>0</v>
      </c>
      <c r="K194" s="130">
        <f>K151-K187</f>
        <v>0</v>
      </c>
      <c r="L194" s="130"/>
      <c r="M194" s="130"/>
      <c r="N194" s="130"/>
      <c r="O194" s="130"/>
      <c r="P194" s="130"/>
      <c r="Q194" s="130"/>
      <c r="R194" s="130">
        <f>R151-R187</f>
        <v>0</v>
      </c>
    </row>
    <row r="197" ht="13.5">
      <c r="D197" s="134" t="s">
        <v>135</v>
      </c>
    </row>
    <row r="199" ht="13.5">
      <c r="F199" s="132"/>
    </row>
    <row r="200" ht="13.5">
      <c r="F200" s="132"/>
    </row>
    <row r="201" ht="13.5">
      <c r="F201" s="132"/>
    </row>
  </sheetData>
  <mergeCells count="74">
    <mergeCell ref="A36:C36"/>
    <mergeCell ref="B53:C53"/>
    <mergeCell ref="B51:C51"/>
    <mergeCell ref="B155:C155"/>
    <mergeCell ref="A153:C153"/>
    <mergeCell ref="A151:C151"/>
    <mergeCell ref="B88:C88"/>
    <mergeCell ref="B91:C91"/>
    <mergeCell ref="B73:C73"/>
    <mergeCell ref="B76:C76"/>
    <mergeCell ref="B26:C26"/>
    <mergeCell ref="A6:C6"/>
    <mergeCell ref="B24:C24"/>
    <mergeCell ref="A7:C7"/>
    <mergeCell ref="B8:C8"/>
    <mergeCell ref="B11:C11"/>
    <mergeCell ref="A1:R1"/>
    <mergeCell ref="A3:R3"/>
    <mergeCell ref="A44:C44"/>
    <mergeCell ref="B49:C49"/>
    <mergeCell ref="B45:C45"/>
    <mergeCell ref="B47:C47"/>
    <mergeCell ref="B39:C39"/>
    <mergeCell ref="B41:C41"/>
    <mergeCell ref="A5:C5"/>
    <mergeCell ref="B29:C29"/>
    <mergeCell ref="A187:C187"/>
    <mergeCell ref="A178:C178"/>
    <mergeCell ref="B61:C61"/>
    <mergeCell ref="B65:C65"/>
    <mergeCell ref="A177:C177"/>
    <mergeCell ref="A141:C141"/>
    <mergeCell ref="B144:C144"/>
    <mergeCell ref="A154:C154"/>
    <mergeCell ref="A175:C175"/>
    <mergeCell ref="B168:C168"/>
    <mergeCell ref="B96:C96"/>
    <mergeCell ref="B57:C57"/>
    <mergeCell ref="B59:C59"/>
    <mergeCell ref="B63:C63"/>
    <mergeCell ref="B67:C67"/>
    <mergeCell ref="B93:C93"/>
    <mergeCell ref="B83:C83"/>
    <mergeCell ref="B86:C86"/>
    <mergeCell ref="B183:C183"/>
    <mergeCell ref="B179:C179"/>
    <mergeCell ref="A185:C185"/>
    <mergeCell ref="A167:C167"/>
    <mergeCell ref="B181:C181"/>
    <mergeCell ref="B171:C171"/>
    <mergeCell ref="B37:C37"/>
    <mergeCell ref="B157:C157"/>
    <mergeCell ref="B110:C110"/>
    <mergeCell ref="B113:C113"/>
    <mergeCell ref="B133:C133"/>
    <mergeCell ref="B136:C136"/>
    <mergeCell ref="B146:C146"/>
    <mergeCell ref="B142:C142"/>
    <mergeCell ref="B138:C138"/>
    <mergeCell ref="B55:C55"/>
    <mergeCell ref="B101:C101"/>
    <mergeCell ref="B164:C164"/>
    <mergeCell ref="B13:C13"/>
    <mergeCell ref="B81:C81"/>
    <mergeCell ref="B21:C21"/>
    <mergeCell ref="B98:C98"/>
    <mergeCell ref="A72:C72"/>
    <mergeCell ref="B78:C78"/>
    <mergeCell ref="B69:C69"/>
    <mergeCell ref="A106:C106"/>
    <mergeCell ref="A163:C163"/>
    <mergeCell ref="B103:C103"/>
    <mergeCell ref="B128:C128"/>
    <mergeCell ref="B131:C131"/>
  </mergeCells>
  <printOptions horizontalCentered="1"/>
  <pageMargins left="0.2" right="0.16" top="0.984251968503937" bottom="0.984251968503937" header="0.5118110236220472" footer="0.5118110236220472"/>
  <pageSetup firstPageNumber="47" useFirstPageNumber="1" horizontalDpi="600" verticalDpi="600" orientation="landscape" paperSize="9" scale="60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showZeros="0" view="pageBreakPreview" zoomScale="60" zoomScaleNormal="80" workbookViewId="0" topLeftCell="A1">
      <selection activeCell="G84" sqref="G84"/>
    </sheetView>
  </sheetViews>
  <sheetFormatPr defaultColWidth="8.88671875" defaultRowHeight="13.5"/>
  <cols>
    <col min="1" max="1" width="2.21484375" style="1" customWidth="1"/>
    <col min="2" max="2" width="2.77734375" style="1" customWidth="1"/>
    <col min="3" max="3" width="21.10546875" style="1" bestFit="1" customWidth="1"/>
    <col min="4" max="4" width="17.88671875" style="2" bestFit="1" customWidth="1"/>
    <col min="5" max="5" width="16.77734375" style="2" bestFit="1" customWidth="1"/>
    <col min="6" max="6" width="14.3359375" style="3" customWidth="1"/>
    <col min="7" max="9" width="13.88671875" style="3" customWidth="1"/>
    <col min="10" max="10" width="17.88671875" style="3" bestFit="1" customWidth="1"/>
    <col min="11" max="11" width="14.99609375" style="3" customWidth="1"/>
    <col min="12" max="15" width="14.99609375" style="157" customWidth="1"/>
    <col min="16" max="17" width="14.99609375" style="157" hidden="1" customWidth="1"/>
    <col min="18" max="18" width="14.5546875" style="1" hidden="1" customWidth="1"/>
    <col min="19" max="19" width="3.6640625" style="1" hidden="1" customWidth="1"/>
    <col min="20" max="20" width="12.77734375" style="1" bestFit="1" customWidth="1"/>
    <col min="21" max="16384" width="8.88671875" style="1" customWidth="1"/>
  </cols>
  <sheetData>
    <row r="1" spans="1:18" s="205" customFormat="1" ht="25.5">
      <c r="A1" s="292" t="s">
        <v>347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5" s="205" customFormat="1" ht="22.5">
      <c r="A2" s="231"/>
      <c r="B2" s="232"/>
      <c r="C2" s="233"/>
      <c r="E2" s="241"/>
    </row>
    <row r="3" spans="1:18" s="205" customFormat="1" ht="13.5">
      <c r="A3" s="293" t="s">
        <v>348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4" spans="1:17" s="206" customFormat="1" ht="12.75" thickBot="1">
      <c r="A4" s="206" t="str">
        <f>재정상태!A4</f>
        <v>사천시 기타특별회계</v>
      </c>
      <c r="E4" s="207"/>
      <c r="F4" s="208" t="s">
        <v>349</v>
      </c>
      <c r="G4" s="208"/>
      <c r="H4" s="208"/>
      <c r="I4" s="208"/>
      <c r="J4" s="208"/>
      <c r="K4" s="208"/>
      <c r="L4" s="208"/>
      <c r="M4" s="208"/>
      <c r="N4" s="208"/>
      <c r="O4" s="208" t="s">
        <v>350</v>
      </c>
      <c r="P4" s="208"/>
      <c r="Q4" s="208"/>
    </row>
    <row r="5" spans="1:18" s="206" customFormat="1" ht="45" customHeight="1">
      <c r="A5" s="296"/>
      <c r="B5" s="297"/>
      <c r="C5" s="298"/>
      <c r="D5" s="235" t="s">
        <v>351</v>
      </c>
      <c r="E5" s="236" t="str">
        <f>재정상태!E5</f>
        <v>주택사업
 특별회계</v>
      </c>
      <c r="F5" s="236" t="str">
        <f>재정상태!F5</f>
        <v>토지구획정리사업
특별회계</v>
      </c>
      <c r="G5" s="236" t="str">
        <f>재정상태!G5</f>
        <v>의료급여기금
특별회계</v>
      </c>
      <c r="H5" s="236" t="str">
        <f>재정상태!H5</f>
        <v>기초생활보장
수급권자생활안정
기금특별회계</v>
      </c>
      <c r="I5" s="236" t="str">
        <f>재정상태!I5</f>
        <v>새마을소득사업
운영관리특별회계</v>
      </c>
      <c r="J5" s="236" t="str">
        <f>재정상태!J5</f>
        <v>발전소주변지역
지원사업특별회계</v>
      </c>
      <c r="K5" s="236" t="str">
        <f>재정상태!K5</f>
        <v>중소기업육성기금
운영특별회계</v>
      </c>
      <c r="L5" s="236" t="str">
        <f>재정상태!L5</f>
        <v>농공단지사업
특별회계</v>
      </c>
      <c r="M5" s="236" t="str">
        <f>재정상태!M5</f>
        <v>수질개선사업
특별회계</v>
      </c>
      <c r="N5" s="236" t="str">
        <f>재정상태!N5</f>
        <v>장기미집행
도시계획시설
대지보상특별회계</v>
      </c>
      <c r="O5" s="238" t="str">
        <f>재정상태!O5</f>
        <v>기반시설
특별회계</v>
      </c>
      <c r="P5" s="239">
        <f>재정상태!P5</f>
        <v>0</v>
      </c>
      <c r="Q5" s="237"/>
      <c r="R5" s="237">
        <f>재정상태!R5</f>
        <v>0</v>
      </c>
    </row>
    <row r="6" spans="1:18" s="38" customFormat="1" ht="13.5" customHeight="1">
      <c r="A6" s="259"/>
      <c r="B6" s="42"/>
      <c r="C6" s="61"/>
      <c r="D6" s="97"/>
      <c r="E6" s="97"/>
      <c r="F6" s="47"/>
      <c r="G6" s="47"/>
      <c r="H6" s="47"/>
      <c r="I6" s="47"/>
      <c r="J6" s="47"/>
      <c r="K6" s="47"/>
      <c r="L6" s="47"/>
      <c r="M6" s="47"/>
      <c r="N6" s="47"/>
      <c r="O6" s="106"/>
      <c r="P6" s="46"/>
      <c r="Q6" s="46"/>
      <c r="R6" s="106"/>
    </row>
    <row r="7" spans="1:20" s="36" customFormat="1" ht="13.5" customHeight="1" thickBot="1">
      <c r="A7" s="273" t="s">
        <v>7</v>
      </c>
      <c r="B7" s="274"/>
      <c r="C7" s="275"/>
      <c r="D7" s="98">
        <f aca="true" t="shared" si="0" ref="D7:R7">D9+D23+D33</f>
        <v>6662625390</v>
      </c>
      <c r="E7" s="98">
        <f t="shared" si="0"/>
        <v>12990632</v>
      </c>
      <c r="F7" s="98">
        <f t="shared" si="0"/>
        <v>59317568</v>
      </c>
      <c r="G7" s="98">
        <f t="shared" si="0"/>
        <v>1537055770</v>
      </c>
      <c r="H7" s="271">
        <f t="shared" si="0"/>
        <v>25569831</v>
      </c>
      <c r="I7" s="271">
        <f t="shared" si="0"/>
        <v>2336080</v>
      </c>
      <c r="J7" s="98">
        <f t="shared" si="0"/>
        <v>1230003353</v>
      </c>
      <c r="K7" s="98">
        <f t="shared" si="0"/>
        <v>90391851</v>
      </c>
      <c r="L7" s="98">
        <f t="shared" si="0"/>
        <v>1273424915</v>
      </c>
      <c r="M7" s="98">
        <f>M9+M23+M33</f>
        <v>2072956520</v>
      </c>
      <c r="N7" s="98">
        <f t="shared" si="0"/>
        <v>35686780</v>
      </c>
      <c r="O7" s="211">
        <f t="shared" si="0"/>
        <v>322892090</v>
      </c>
      <c r="P7" s="209">
        <f t="shared" si="0"/>
        <v>0</v>
      </c>
      <c r="Q7" s="67">
        <f t="shared" si="0"/>
        <v>0</v>
      </c>
      <c r="R7" s="67">
        <f t="shared" si="0"/>
        <v>0</v>
      </c>
      <c r="S7" s="95">
        <f aca="true" t="shared" si="1" ref="S7:S22">D7-SUM(E7:R7)</f>
        <v>0</v>
      </c>
      <c r="T7" s="95">
        <f>D7-SUM(E7:R7)</f>
        <v>0</v>
      </c>
    </row>
    <row r="8" spans="1:20" s="38" customFormat="1" ht="13.5" customHeight="1" thickTop="1">
      <c r="A8" s="260"/>
      <c r="B8" s="37"/>
      <c r="C8" s="62"/>
      <c r="D8" s="99"/>
      <c r="E8" s="99"/>
      <c r="F8" s="51"/>
      <c r="G8" s="51"/>
      <c r="H8" s="51"/>
      <c r="I8" s="51"/>
      <c r="J8" s="51"/>
      <c r="K8" s="51"/>
      <c r="L8" s="51"/>
      <c r="M8" s="51"/>
      <c r="N8" s="51"/>
      <c r="O8" s="107"/>
      <c r="P8" s="172"/>
      <c r="Q8" s="172"/>
      <c r="R8" s="173"/>
      <c r="S8" s="95">
        <f t="shared" si="1"/>
        <v>0</v>
      </c>
      <c r="T8" s="95">
        <f aca="true" t="shared" si="2" ref="T8:T74">D8-SUM(E8:R8)</f>
        <v>0</v>
      </c>
    </row>
    <row r="9" spans="1:20" s="82" customFormat="1" ht="13.5" customHeight="1">
      <c r="A9" s="261" t="s">
        <v>56</v>
      </c>
      <c r="B9" s="39"/>
      <c r="C9" s="64"/>
      <c r="D9" s="96">
        <f>D10+D17</f>
        <v>4518062390</v>
      </c>
      <c r="E9" s="96">
        <f>E10+E17</f>
        <v>12990632</v>
      </c>
      <c r="F9" s="96">
        <f>F10+F17</f>
        <v>59317568</v>
      </c>
      <c r="G9" s="96">
        <f>G10+G17</f>
        <v>22492770</v>
      </c>
      <c r="H9" s="96">
        <f aca="true" t="shared" si="3" ref="H9:R9">H10+H17</f>
        <v>25569831</v>
      </c>
      <c r="I9" s="96">
        <f t="shared" si="3"/>
        <v>2336080</v>
      </c>
      <c r="J9" s="96">
        <f t="shared" si="3"/>
        <v>1230003353</v>
      </c>
      <c r="K9" s="96">
        <f t="shared" si="3"/>
        <v>90391851</v>
      </c>
      <c r="L9" s="96">
        <f t="shared" si="3"/>
        <v>669424915</v>
      </c>
      <c r="M9" s="96">
        <f t="shared" si="3"/>
        <v>2072956520</v>
      </c>
      <c r="N9" s="96">
        <f t="shared" si="3"/>
        <v>9686780</v>
      </c>
      <c r="O9" s="215">
        <f t="shared" si="3"/>
        <v>322892090</v>
      </c>
      <c r="P9" s="170">
        <f t="shared" si="3"/>
        <v>0</v>
      </c>
      <c r="Q9" s="170">
        <f t="shared" si="3"/>
        <v>0</v>
      </c>
      <c r="R9" s="170">
        <f t="shared" si="3"/>
        <v>0</v>
      </c>
      <c r="S9" s="95">
        <f t="shared" si="1"/>
        <v>0</v>
      </c>
      <c r="T9" s="95">
        <f t="shared" si="2"/>
        <v>0</v>
      </c>
    </row>
    <row r="10" spans="1:20" s="82" customFormat="1" ht="13.5" customHeight="1">
      <c r="A10" s="261"/>
      <c r="B10" s="39" t="s">
        <v>203</v>
      </c>
      <c r="C10" s="64"/>
      <c r="D10" s="96">
        <f>SUM(D11:D16)</f>
        <v>914917770</v>
      </c>
      <c r="E10" s="96">
        <f>SUM(E11:E16)</f>
        <v>12990632</v>
      </c>
      <c r="F10" s="96">
        <f aca="true" t="shared" si="4" ref="F10:R10">SUM(F11:F16)</f>
        <v>59297568</v>
      </c>
      <c r="G10" s="96">
        <f t="shared" si="4"/>
        <v>449220</v>
      </c>
      <c r="H10" s="96">
        <f t="shared" si="4"/>
        <v>25569831</v>
      </c>
      <c r="I10" s="96">
        <f t="shared" si="4"/>
        <v>2336080</v>
      </c>
      <c r="J10" s="96">
        <f t="shared" si="4"/>
        <v>34323353</v>
      </c>
      <c r="K10" s="96">
        <f t="shared" si="4"/>
        <v>90391851</v>
      </c>
      <c r="L10" s="96">
        <f t="shared" si="4"/>
        <v>669424915</v>
      </c>
      <c r="M10" s="96">
        <f t="shared" si="4"/>
        <v>6123520</v>
      </c>
      <c r="N10" s="96">
        <f t="shared" si="4"/>
        <v>9686780</v>
      </c>
      <c r="O10" s="215">
        <f t="shared" si="4"/>
        <v>4324020</v>
      </c>
      <c r="P10" s="170">
        <f t="shared" si="4"/>
        <v>0</v>
      </c>
      <c r="Q10" s="170">
        <f t="shared" si="4"/>
        <v>0</v>
      </c>
      <c r="R10" s="170">
        <f t="shared" si="4"/>
        <v>0</v>
      </c>
      <c r="S10" s="95">
        <f t="shared" si="1"/>
        <v>0</v>
      </c>
      <c r="T10" s="95">
        <f t="shared" si="2"/>
        <v>0</v>
      </c>
    </row>
    <row r="11" spans="1:20" s="38" customFormat="1" ht="13.5" customHeight="1" hidden="1">
      <c r="A11" s="260"/>
      <c r="B11" s="37"/>
      <c r="C11" s="62" t="s">
        <v>57</v>
      </c>
      <c r="D11" s="100">
        <f aca="true" t="shared" si="5" ref="D11:D16">SUM(E11:R11)</f>
        <v>0</v>
      </c>
      <c r="E11" s="100"/>
      <c r="F11" s="51"/>
      <c r="G11" s="51"/>
      <c r="H11" s="51"/>
      <c r="I11" s="51"/>
      <c r="J11" s="51"/>
      <c r="K11" s="51"/>
      <c r="L11" s="51"/>
      <c r="M11" s="51"/>
      <c r="N11" s="51"/>
      <c r="O11" s="107"/>
      <c r="P11" s="50"/>
      <c r="Q11" s="50"/>
      <c r="R11" s="161"/>
      <c r="S11" s="95">
        <f t="shared" si="1"/>
        <v>0</v>
      </c>
      <c r="T11" s="95">
        <f t="shared" si="2"/>
        <v>0</v>
      </c>
    </row>
    <row r="12" spans="1:20" s="38" customFormat="1" ht="13.5" customHeight="1" hidden="1">
      <c r="A12" s="260"/>
      <c r="B12" s="37"/>
      <c r="C12" s="62" t="s">
        <v>173</v>
      </c>
      <c r="D12" s="100">
        <f t="shared" si="5"/>
        <v>0</v>
      </c>
      <c r="E12" s="100"/>
      <c r="F12" s="51"/>
      <c r="G12" s="51"/>
      <c r="H12" s="51"/>
      <c r="I12" s="51"/>
      <c r="J12" s="80"/>
      <c r="K12" s="80"/>
      <c r="L12" s="80"/>
      <c r="M12" s="80"/>
      <c r="N12" s="80"/>
      <c r="O12" s="216"/>
      <c r="P12" s="81"/>
      <c r="Q12" s="81"/>
      <c r="R12" s="161"/>
      <c r="S12" s="95">
        <f t="shared" si="1"/>
        <v>0</v>
      </c>
      <c r="T12" s="95">
        <f t="shared" si="2"/>
        <v>0</v>
      </c>
    </row>
    <row r="13" spans="1:20" s="38" customFormat="1" ht="13.5" customHeight="1" hidden="1">
      <c r="A13" s="260"/>
      <c r="B13" s="37"/>
      <c r="C13" s="62" t="s">
        <v>174</v>
      </c>
      <c r="D13" s="100">
        <f t="shared" si="5"/>
        <v>0</v>
      </c>
      <c r="E13" s="100"/>
      <c r="F13" s="51"/>
      <c r="G13" s="51"/>
      <c r="H13" s="51"/>
      <c r="I13" s="51"/>
      <c r="J13" s="51"/>
      <c r="K13" s="80"/>
      <c r="L13" s="80"/>
      <c r="M13" s="80"/>
      <c r="N13" s="80"/>
      <c r="O13" s="216"/>
      <c r="P13" s="81"/>
      <c r="Q13" s="81"/>
      <c r="R13" s="161"/>
      <c r="S13" s="95">
        <f t="shared" si="1"/>
        <v>0</v>
      </c>
      <c r="T13" s="95">
        <f t="shared" si="2"/>
        <v>0</v>
      </c>
    </row>
    <row r="14" spans="1:20" s="38" customFormat="1" ht="13.5" customHeight="1">
      <c r="A14" s="260"/>
      <c r="B14" s="37"/>
      <c r="C14" s="62" t="s">
        <v>175</v>
      </c>
      <c r="D14" s="100">
        <f t="shared" si="5"/>
        <v>655480976</v>
      </c>
      <c r="E14" s="100"/>
      <c r="F14" s="51"/>
      <c r="G14" s="51"/>
      <c r="H14" s="51"/>
      <c r="I14" s="51"/>
      <c r="J14" s="51"/>
      <c r="K14" s="51"/>
      <c r="L14" s="51">
        <f>'[14]기특'!$D$62</f>
        <v>655480976</v>
      </c>
      <c r="M14" s="51"/>
      <c r="N14" s="51"/>
      <c r="O14" s="107"/>
      <c r="P14" s="50"/>
      <c r="Q14" s="50"/>
      <c r="R14" s="161"/>
      <c r="S14" s="95">
        <f t="shared" si="1"/>
        <v>0</v>
      </c>
      <c r="T14" s="95">
        <f t="shared" si="2"/>
        <v>0</v>
      </c>
    </row>
    <row r="15" spans="1:20" s="38" customFormat="1" ht="13.5" customHeight="1">
      <c r="A15" s="260"/>
      <c r="B15" s="37"/>
      <c r="C15" s="62" t="s">
        <v>200</v>
      </c>
      <c r="D15" s="100">
        <f t="shared" si="5"/>
        <v>4324020</v>
      </c>
      <c r="E15" s="100"/>
      <c r="F15" s="51"/>
      <c r="G15" s="51"/>
      <c r="H15" s="51"/>
      <c r="I15" s="51"/>
      <c r="J15" s="51"/>
      <c r="K15" s="51"/>
      <c r="L15" s="51"/>
      <c r="M15" s="51"/>
      <c r="N15" s="51"/>
      <c r="O15" s="107">
        <f>'[14]기특'!$D$94</f>
        <v>4324020</v>
      </c>
      <c r="P15" s="50"/>
      <c r="Q15" s="50"/>
      <c r="R15" s="161"/>
      <c r="S15" s="95">
        <f t="shared" si="1"/>
        <v>0</v>
      </c>
      <c r="T15" s="95">
        <f t="shared" si="2"/>
        <v>0</v>
      </c>
    </row>
    <row r="16" spans="1:20" s="38" customFormat="1" ht="13.5" customHeight="1">
      <c r="A16" s="260"/>
      <c r="B16" s="37"/>
      <c r="C16" s="62" t="s">
        <v>176</v>
      </c>
      <c r="D16" s="100">
        <f t="shared" si="5"/>
        <v>255112774</v>
      </c>
      <c r="E16" s="100">
        <f>'[14]기특'!$D$69+'[15]기타특별회계'!$H$93</f>
        <v>12990632</v>
      </c>
      <c r="F16" s="80">
        <f>'[14]기특'!$D$73+300670-'[15]기타특별회계'!$F$98</f>
        <v>59297568</v>
      </c>
      <c r="G16" s="80">
        <f>'[14]기특'!$D$56</f>
        <v>449220</v>
      </c>
      <c r="H16" s="51">
        <f>'[14]기특'!$D$77+'[15]기타특별회계'!$G$178+'[15]기타특별회계'!$H$103</f>
        <v>25569831</v>
      </c>
      <c r="I16" s="51">
        <f>'[14]기특'!$D$80+'[15]기타특별회계'!$G$180</f>
        <v>2336080</v>
      </c>
      <c r="J16" s="80">
        <f>'[14]기특'!$D$83</f>
        <v>34323353</v>
      </c>
      <c r="K16" s="80">
        <f>'[14]기특'!$D$87+4436509-'[15]기타특별회계'!$F$109</f>
        <v>90391851</v>
      </c>
      <c r="L16" s="80">
        <f>'[14]기특'!$D$63-'[15]기타특별회계'!$F$113</f>
        <v>13943939</v>
      </c>
      <c r="M16" s="80">
        <f>'[14]기특'!$D$90+4123520</f>
        <v>6123520</v>
      </c>
      <c r="N16" s="80">
        <v>9686780</v>
      </c>
      <c r="O16" s="216"/>
      <c r="P16" s="81"/>
      <c r="Q16" s="81"/>
      <c r="R16" s="162"/>
      <c r="S16" s="95">
        <f t="shared" si="1"/>
        <v>0</v>
      </c>
      <c r="T16" s="95">
        <f t="shared" si="2"/>
        <v>0</v>
      </c>
    </row>
    <row r="17" spans="1:20" s="82" customFormat="1" ht="13.5" customHeight="1">
      <c r="A17" s="261"/>
      <c r="B17" s="39" t="s">
        <v>204</v>
      </c>
      <c r="C17" s="64"/>
      <c r="D17" s="96">
        <f aca="true" t="shared" si="6" ref="D17:J17">SUM(D18:D21)</f>
        <v>3603144620</v>
      </c>
      <c r="E17" s="96">
        <f t="shared" si="6"/>
        <v>0</v>
      </c>
      <c r="F17" s="96">
        <f t="shared" si="6"/>
        <v>20000</v>
      </c>
      <c r="G17" s="96">
        <f t="shared" si="6"/>
        <v>22043550</v>
      </c>
      <c r="H17" s="96">
        <f t="shared" si="6"/>
        <v>0</v>
      </c>
      <c r="I17" s="96">
        <f t="shared" si="6"/>
        <v>0</v>
      </c>
      <c r="J17" s="96">
        <f t="shared" si="6"/>
        <v>1195680000</v>
      </c>
      <c r="K17" s="96">
        <f aca="true" t="shared" si="7" ref="K17:R17">SUM(K18:K21)</f>
        <v>0</v>
      </c>
      <c r="L17" s="96">
        <f t="shared" si="7"/>
        <v>0</v>
      </c>
      <c r="M17" s="96">
        <f t="shared" si="7"/>
        <v>2066833000</v>
      </c>
      <c r="N17" s="96">
        <f t="shared" si="7"/>
        <v>0</v>
      </c>
      <c r="O17" s="215">
        <f t="shared" si="7"/>
        <v>318568070</v>
      </c>
      <c r="P17" s="170">
        <f t="shared" si="7"/>
        <v>0</v>
      </c>
      <c r="Q17" s="170">
        <f t="shared" si="7"/>
        <v>0</v>
      </c>
      <c r="R17" s="164">
        <f t="shared" si="7"/>
        <v>0</v>
      </c>
      <c r="S17" s="95">
        <f t="shared" si="1"/>
        <v>0</v>
      </c>
      <c r="T17" s="95">
        <f t="shared" si="2"/>
        <v>0</v>
      </c>
    </row>
    <row r="18" spans="1:20" s="38" customFormat="1" ht="13.5" customHeight="1">
      <c r="A18" s="260"/>
      <c r="B18" s="37"/>
      <c r="C18" s="62" t="s">
        <v>177</v>
      </c>
      <c r="D18" s="100">
        <f>SUM(E18:R18)</f>
        <v>318568070</v>
      </c>
      <c r="E18" s="100"/>
      <c r="F18" s="80"/>
      <c r="G18" s="51"/>
      <c r="H18" s="51"/>
      <c r="I18" s="51"/>
      <c r="J18" s="51"/>
      <c r="K18" s="51"/>
      <c r="L18" s="51"/>
      <c r="M18" s="51"/>
      <c r="N18" s="51"/>
      <c r="O18" s="107">
        <f>'[14]기특'!$D$95</f>
        <v>318568070</v>
      </c>
      <c r="P18" s="50"/>
      <c r="Q18" s="50"/>
      <c r="R18" s="162"/>
      <c r="S18" s="95">
        <f t="shared" si="1"/>
        <v>0</v>
      </c>
      <c r="T18" s="95">
        <f t="shared" si="2"/>
        <v>0</v>
      </c>
    </row>
    <row r="19" spans="1:20" s="38" customFormat="1" ht="13.5" customHeight="1" hidden="1">
      <c r="A19" s="260"/>
      <c r="B19" s="37"/>
      <c r="C19" s="62" t="s">
        <v>188</v>
      </c>
      <c r="D19" s="100">
        <f>SUM(E19:R19)</f>
        <v>0</v>
      </c>
      <c r="E19" s="100"/>
      <c r="F19" s="80"/>
      <c r="G19" s="51"/>
      <c r="H19" s="51"/>
      <c r="I19" s="51"/>
      <c r="J19" s="51"/>
      <c r="K19" s="51"/>
      <c r="L19" s="51"/>
      <c r="M19" s="51"/>
      <c r="N19" s="51"/>
      <c r="O19" s="107"/>
      <c r="P19" s="50"/>
      <c r="Q19" s="50"/>
      <c r="R19" s="162"/>
      <c r="S19" s="95">
        <f t="shared" si="1"/>
        <v>0</v>
      </c>
      <c r="T19" s="95">
        <f t="shared" si="2"/>
        <v>0</v>
      </c>
    </row>
    <row r="20" spans="1:20" s="38" customFormat="1" ht="13.5" customHeight="1">
      <c r="A20" s="260"/>
      <c r="B20" s="37"/>
      <c r="C20" s="62" t="s">
        <v>284</v>
      </c>
      <c r="D20" s="100">
        <f>SUM(E20:R20)</f>
        <v>22043550</v>
      </c>
      <c r="E20" s="100"/>
      <c r="F20" s="80"/>
      <c r="G20" s="51">
        <f>'[14]기특'!$D$58</f>
        <v>22043550</v>
      </c>
      <c r="H20" s="51"/>
      <c r="I20" s="51"/>
      <c r="J20" s="51"/>
      <c r="K20" s="51"/>
      <c r="L20" s="51"/>
      <c r="M20" s="51"/>
      <c r="N20" s="51"/>
      <c r="O20" s="107"/>
      <c r="P20" s="50"/>
      <c r="Q20" s="50"/>
      <c r="R20" s="162"/>
      <c r="S20" s="95"/>
      <c r="T20" s="95"/>
    </row>
    <row r="21" spans="1:20" s="38" customFormat="1" ht="13.5" customHeight="1">
      <c r="A21" s="260"/>
      <c r="B21" s="37"/>
      <c r="C21" s="62" t="s">
        <v>185</v>
      </c>
      <c r="D21" s="100">
        <f>SUM(E21:R21)</f>
        <v>3262533000</v>
      </c>
      <c r="E21" s="100">
        <f>'[14]기특'!$D$70+'[15]기타특별회계'!$G$176</f>
        <v>0</v>
      </c>
      <c r="F21" s="80">
        <f>'[14]기특'!$D$74</f>
        <v>20000</v>
      </c>
      <c r="G21" s="51"/>
      <c r="H21" s="51"/>
      <c r="I21" s="51"/>
      <c r="J21" s="80">
        <f>'[14]기특'!$D$84</f>
        <v>1195680000</v>
      </c>
      <c r="K21" s="51"/>
      <c r="L21" s="51"/>
      <c r="M21" s="51">
        <f>'[14]기특'!$D$91+2000000</f>
        <v>2066833000</v>
      </c>
      <c r="N21" s="51"/>
      <c r="O21" s="107"/>
      <c r="P21" s="50"/>
      <c r="Q21" s="50"/>
      <c r="R21" s="161"/>
      <c r="S21" s="95">
        <f t="shared" si="1"/>
        <v>0</v>
      </c>
      <c r="T21" s="95">
        <f t="shared" si="2"/>
        <v>0</v>
      </c>
    </row>
    <row r="22" spans="1:20" s="38" customFormat="1" ht="13.5" customHeight="1">
      <c r="A22" s="260"/>
      <c r="B22" s="37"/>
      <c r="C22" s="62"/>
      <c r="D22" s="100"/>
      <c r="E22" s="96">
        <f>SUM(F22:K22)</f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214"/>
      <c r="P22" s="53"/>
      <c r="Q22" s="53"/>
      <c r="R22" s="163"/>
      <c r="S22" s="95">
        <f t="shared" si="1"/>
        <v>0</v>
      </c>
      <c r="T22" s="95">
        <f t="shared" si="2"/>
        <v>0</v>
      </c>
    </row>
    <row r="23" spans="1:20" s="82" customFormat="1" ht="13.5" customHeight="1">
      <c r="A23" s="261" t="s">
        <v>205</v>
      </c>
      <c r="B23" s="39"/>
      <c r="C23" s="64"/>
      <c r="D23" s="96">
        <f>D24+D26+D30+D28</f>
        <v>771000000</v>
      </c>
      <c r="E23" s="96">
        <f aca="true" t="shared" si="8" ref="E23:R23">E24+E26+E30+E28</f>
        <v>0</v>
      </c>
      <c r="F23" s="96">
        <f t="shared" si="8"/>
        <v>0</v>
      </c>
      <c r="G23" s="96">
        <f t="shared" si="8"/>
        <v>141000000</v>
      </c>
      <c r="H23" s="96">
        <f t="shared" si="8"/>
        <v>0</v>
      </c>
      <c r="I23" s="96">
        <f t="shared" si="8"/>
        <v>0</v>
      </c>
      <c r="J23" s="96">
        <f t="shared" si="8"/>
        <v>0</v>
      </c>
      <c r="K23" s="96">
        <f t="shared" si="8"/>
        <v>0</v>
      </c>
      <c r="L23" s="96">
        <f t="shared" si="8"/>
        <v>604000000</v>
      </c>
      <c r="M23" s="96">
        <f t="shared" si="8"/>
        <v>0</v>
      </c>
      <c r="N23" s="96">
        <f t="shared" si="8"/>
        <v>26000000</v>
      </c>
      <c r="O23" s="215">
        <f t="shared" si="8"/>
        <v>0</v>
      </c>
      <c r="P23" s="170">
        <f t="shared" si="8"/>
        <v>0</v>
      </c>
      <c r="Q23" s="170">
        <f t="shared" si="8"/>
        <v>0</v>
      </c>
      <c r="R23" s="164">
        <f t="shared" si="8"/>
        <v>0</v>
      </c>
      <c r="S23" s="113">
        <f>S24+S26</f>
        <v>0</v>
      </c>
      <c r="T23" s="95">
        <f t="shared" si="2"/>
        <v>0</v>
      </c>
    </row>
    <row r="24" spans="1:20" s="82" customFormat="1" ht="13.5" customHeight="1">
      <c r="A24" s="261"/>
      <c r="B24" s="39" t="s">
        <v>206</v>
      </c>
      <c r="C24" s="64"/>
      <c r="D24" s="96">
        <f aca="true" t="shared" si="9" ref="D24:R24">D25</f>
        <v>730000000</v>
      </c>
      <c r="E24" s="96">
        <f t="shared" si="9"/>
        <v>0</v>
      </c>
      <c r="F24" s="96">
        <f t="shared" si="9"/>
        <v>0</v>
      </c>
      <c r="G24" s="96">
        <f t="shared" si="9"/>
        <v>100000000</v>
      </c>
      <c r="H24" s="96">
        <f t="shared" si="9"/>
        <v>0</v>
      </c>
      <c r="I24" s="96">
        <f t="shared" si="9"/>
        <v>0</v>
      </c>
      <c r="J24" s="96">
        <f t="shared" si="9"/>
        <v>0</v>
      </c>
      <c r="K24" s="96">
        <f t="shared" si="9"/>
        <v>0</v>
      </c>
      <c r="L24" s="96">
        <f t="shared" si="9"/>
        <v>604000000</v>
      </c>
      <c r="M24" s="96">
        <f t="shared" si="9"/>
        <v>0</v>
      </c>
      <c r="N24" s="96">
        <f t="shared" si="9"/>
        <v>26000000</v>
      </c>
      <c r="O24" s="215">
        <f t="shared" si="9"/>
        <v>0</v>
      </c>
      <c r="P24" s="170">
        <f t="shared" si="9"/>
        <v>0</v>
      </c>
      <c r="Q24" s="170">
        <f t="shared" si="9"/>
        <v>0</v>
      </c>
      <c r="R24" s="164">
        <f t="shared" si="9"/>
        <v>0</v>
      </c>
      <c r="S24" s="95">
        <f>D24-SUM(E24:R24)</f>
        <v>0</v>
      </c>
      <c r="T24" s="95">
        <f t="shared" si="2"/>
        <v>0</v>
      </c>
    </row>
    <row r="25" spans="1:20" s="38" customFormat="1" ht="13.5" customHeight="1">
      <c r="A25" s="260"/>
      <c r="B25" s="37"/>
      <c r="C25" s="62" t="s">
        <v>99</v>
      </c>
      <c r="D25" s="100">
        <f>SUM(E25:R25)</f>
        <v>730000000</v>
      </c>
      <c r="E25" s="100"/>
      <c r="F25" s="80"/>
      <c r="G25" s="51">
        <f>'[14]기특'!$D$59+2020320</f>
        <v>100000000</v>
      </c>
      <c r="H25" s="51"/>
      <c r="I25" s="51"/>
      <c r="J25" s="51"/>
      <c r="K25" s="51"/>
      <c r="L25" s="51">
        <f>'[14]기특'!$D$64</f>
        <v>604000000</v>
      </c>
      <c r="M25" s="51"/>
      <c r="N25" s="51">
        <f>'[14]기특'!$D$66</f>
        <v>26000000</v>
      </c>
      <c r="O25" s="107"/>
      <c r="P25" s="50"/>
      <c r="Q25" s="50"/>
      <c r="R25" s="161"/>
      <c r="S25" s="95">
        <f>D25-SUM(E25:R25)</f>
        <v>0</v>
      </c>
      <c r="T25" s="95">
        <f t="shared" si="2"/>
        <v>0</v>
      </c>
    </row>
    <row r="26" spans="1:20" s="82" customFormat="1" ht="13.5" customHeight="1">
      <c r="A26" s="261"/>
      <c r="B26" s="39" t="s">
        <v>207</v>
      </c>
      <c r="C26" s="64"/>
      <c r="D26" s="96">
        <f>D27</f>
        <v>41000000</v>
      </c>
      <c r="E26" s="96">
        <f aca="true" t="shared" si="10" ref="E26:R26">E27</f>
        <v>0</v>
      </c>
      <c r="F26" s="96">
        <f t="shared" si="10"/>
        <v>0</v>
      </c>
      <c r="G26" s="96">
        <f t="shared" si="10"/>
        <v>41000000</v>
      </c>
      <c r="H26" s="96">
        <f t="shared" si="10"/>
        <v>0</v>
      </c>
      <c r="I26" s="96">
        <f t="shared" si="10"/>
        <v>0</v>
      </c>
      <c r="J26" s="96">
        <f t="shared" si="10"/>
        <v>0</v>
      </c>
      <c r="K26" s="96">
        <f t="shared" si="10"/>
        <v>0</v>
      </c>
      <c r="L26" s="96">
        <f t="shared" si="10"/>
        <v>0</v>
      </c>
      <c r="M26" s="96">
        <f t="shared" si="10"/>
        <v>0</v>
      </c>
      <c r="N26" s="96">
        <f t="shared" si="10"/>
        <v>0</v>
      </c>
      <c r="O26" s="215">
        <f t="shared" si="10"/>
        <v>0</v>
      </c>
      <c r="P26" s="170">
        <f t="shared" si="10"/>
        <v>0</v>
      </c>
      <c r="Q26" s="170">
        <f t="shared" si="10"/>
        <v>0</v>
      </c>
      <c r="R26" s="164">
        <f t="shared" si="10"/>
        <v>0</v>
      </c>
      <c r="S26" s="95">
        <f>D26-SUM(E26:R26)</f>
        <v>0</v>
      </c>
      <c r="T26" s="95">
        <f t="shared" si="2"/>
        <v>0</v>
      </c>
    </row>
    <row r="27" spans="1:20" s="38" customFormat="1" ht="13.5" customHeight="1">
      <c r="A27" s="260"/>
      <c r="B27" s="37"/>
      <c r="C27" s="62" t="s">
        <v>58</v>
      </c>
      <c r="D27" s="100">
        <f>SUM(E27:R27)</f>
        <v>41000000</v>
      </c>
      <c r="E27" s="100"/>
      <c r="F27" s="51"/>
      <c r="G27" s="51">
        <f>'[14]기특'!$D$60+5080</f>
        <v>41000000</v>
      </c>
      <c r="H27" s="51"/>
      <c r="I27" s="51"/>
      <c r="J27" s="51"/>
      <c r="K27" s="51"/>
      <c r="L27" s="51"/>
      <c r="M27" s="51"/>
      <c r="N27" s="51"/>
      <c r="O27" s="107"/>
      <c r="P27" s="50"/>
      <c r="Q27" s="50"/>
      <c r="R27" s="161"/>
      <c r="S27" s="95">
        <f>D27-SUM(E27:R27)</f>
        <v>0</v>
      </c>
      <c r="T27" s="95">
        <f t="shared" si="2"/>
        <v>0</v>
      </c>
    </row>
    <row r="28" spans="1:20" s="82" customFormat="1" ht="13.5" customHeight="1" hidden="1">
      <c r="A28" s="261"/>
      <c r="B28" s="302" t="s">
        <v>233</v>
      </c>
      <c r="C28" s="303"/>
      <c r="D28" s="96">
        <f>D29</f>
        <v>0</v>
      </c>
      <c r="E28" s="96">
        <f aca="true" t="shared" si="11" ref="E28:R28">E29</f>
        <v>0</v>
      </c>
      <c r="F28" s="96">
        <f t="shared" si="11"/>
        <v>0</v>
      </c>
      <c r="G28" s="96">
        <f t="shared" si="11"/>
        <v>0</v>
      </c>
      <c r="H28" s="96">
        <f t="shared" si="11"/>
        <v>0</v>
      </c>
      <c r="I28" s="96">
        <f t="shared" si="11"/>
        <v>0</v>
      </c>
      <c r="J28" s="96">
        <f t="shared" si="11"/>
        <v>0</v>
      </c>
      <c r="K28" s="96">
        <f t="shared" si="11"/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215">
        <f t="shared" si="11"/>
        <v>0</v>
      </c>
      <c r="P28" s="170">
        <f t="shared" si="11"/>
        <v>0</v>
      </c>
      <c r="Q28" s="170">
        <f t="shared" si="11"/>
        <v>0</v>
      </c>
      <c r="R28" s="164">
        <f t="shared" si="11"/>
        <v>0</v>
      </c>
      <c r="S28" s="114"/>
      <c r="T28" s="114"/>
    </row>
    <row r="29" spans="1:20" s="38" customFormat="1" ht="13.5" customHeight="1" hidden="1">
      <c r="A29" s="260"/>
      <c r="B29" s="37"/>
      <c r="C29" s="62" t="s">
        <v>232</v>
      </c>
      <c r="D29" s="100">
        <f>SUM(E29:R29)</f>
        <v>0</v>
      </c>
      <c r="E29" s="100"/>
      <c r="F29" s="51"/>
      <c r="G29" s="51"/>
      <c r="H29" s="51"/>
      <c r="I29" s="51"/>
      <c r="J29" s="51"/>
      <c r="K29" s="51"/>
      <c r="L29" s="51"/>
      <c r="M29" s="51"/>
      <c r="N29" s="51"/>
      <c r="O29" s="107"/>
      <c r="P29" s="50"/>
      <c r="Q29" s="50"/>
      <c r="R29" s="161"/>
      <c r="S29" s="95"/>
      <c r="T29" s="95"/>
    </row>
    <row r="30" spans="1:20" s="82" customFormat="1" ht="13.5" customHeight="1" hidden="1">
      <c r="A30" s="261"/>
      <c r="B30" s="39" t="s">
        <v>215</v>
      </c>
      <c r="C30" s="64"/>
      <c r="D30" s="96">
        <f aca="true" t="shared" si="12" ref="D30:R30">D31</f>
        <v>0</v>
      </c>
      <c r="E30" s="96">
        <f t="shared" si="12"/>
        <v>0</v>
      </c>
      <c r="F30" s="96">
        <f t="shared" si="12"/>
        <v>0</v>
      </c>
      <c r="G30" s="96">
        <f t="shared" si="12"/>
        <v>0</v>
      </c>
      <c r="H30" s="96">
        <f t="shared" si="12"/>
        <v>0</v>
      </c>
      <c r="I30" s="96">
        <f t="shared" si="12"/>
        <v>0</v>
      </c>
      <c r="J30" s="96">
        <f t="shared" si="12"/>
        <v>0</v>
      </c>
      <c r="K30" s="96">
        <f t="shared" si="12"/>
        <v>0</v>
      </c>
      <c r="L30" s="96">
        <f t="shared" si="12"/>
        <v>0</v>
      </c>
      <c r="M30" s="96">
        <f t="shared" si="12"/>
        <v>0</v>
      </c>
      <c r="N30" s="96">
        <f t="shared" si="12"/>
        <v>0</v>
      </c>
      <c r="O30" s="215">
        <f t="shared" si="12"/>
        <v>0</v>
      </c>
      <c r="P30" s="170">
        <f t="shared" si="12"/>
        <v>0</v>
      </c>
      <c r="Q30" s="170">
        <f t="shared" si="12"/>
        <v>0</v>
      </c>
      <c r="R30" s="164">
        <f t="shared" si="12"/>
        <v>0</v>
      </c>
      <c r="S30" s="114"/>
      <c r="T30" s="95">
        <f t="shared" si="2"/>
        <v>0</v>
      </c>
    </row>
    <row r="31" spans="1:20" s="38" customFormat="1" ht="13.5" customHeight="1" hidden="1">
      <c r="A31" s="260"/>
      <c r="B31" s="37"/>
      <c r="C31" s="62" t="s">
        <v>216</v>
      </c>
      <c r="D31" s="100">
        <f>SUM(E31:R31)</f>
        <v>0</v>
      </c>
      <c r="E31" s="100"/>
      <c r="F31" s="51"/>
      <c r="G31" s="51"/>
      <c r="H31" s="51"/>
      <c r="I31" s="51"/>
      <c r="J31" s="51"/>
      <c r="K31" s="51"/>
      <c r="L31" s="51"/>
      <c r="M31" s="51"/>
      <c r="N31" s="51"/>
      <c r="O31" s="107"/>
      <c r="P31" s="50"/>
      <c r="Q31" s="50"/>
      <c r="R31" s="161"/>
      <c r="S31" s="95"/>
      <c r="T31" s="95">
        <f t="shared" si="2"/>
        <v>0</v>
      </c>
    </row>
    <row r="32" spans="1:20" s="38" customFormat="1" ht="13.5" customHeight="1">
      <c r="A32" s="260"/>
      <c r="B32" s="37"/>
      <c r="C32" s="62"/>
      <c r="D32" s="101"/>
      <c r="E32" s="96">
        <f>SUM(F32:K32)</f>
        <v>0</v>
      </c>
      <c r="F32" s="51"/>
      <c r="G32" s="51"/>
      <c r="H32" s="51"/>
      <c r="I32" s="51"/>
      <c r="J32" s="51"/>
      <c r="K32" s="51"/>
      <c r="L32" s="51"/>
      <c r="M32" s="51"/>
      <c r="N32" s="51"/>
      <c r="O32" s="107"/>
      <c r="P32" s="50"/>
      <c r="Q32" s="50"/>
      <c r="R32" s="161"/>
      <c r="S32" s="95">
        <f aca="true" t="shared" si="13" ref="S32:S54">D32-SUM(E32:R32)</f>
        <v>0</v>
      </c>
      <c r="T32" s="95">
        <f>D32-SUM(E32:R32)</f>
        <v>0</v>
      </c>
    </row>
    <row r="33" spans="1:20" s="82" customFormat="1" ht="13.5" customHeight="1">
      <c r="A33" s="261" t="s">
        <v>208</v>
      </c>
      <c r="B33" s="39"/>
      <c r="C33" s="64"/>
      <c r="D33" s="96">
        <f>D34</f>
        <v>1373563000</v>
      </c>
      <c r="E33" s="96">
        <f aca="true" t="shared" si="14" ref="E33:S34">E34</f>
        <v>0</v>
      </c>
      <c r="F33" s="96">
        <f t="shared" si="14"/>
        <v>0</v>
      </c>
      <c r="G33" s="96">
        <f t="shared" si="14"/>
        <v>1373563000</v>
      </c>
      <c r="H33" s="96">
        <f t="shared" si="14"/>
        <v>0</v>
      </c>
      <c r="I33" s="96">
        <f t="shared" si="14"/>
        <v>0</v>
      </c>
      <c r="J33" s="96">
        <f t="shared" si="14"/>
        <v>0</v>
      </c>
      <c r="K33" s="96">
        <f t="shared" si="14"/>
        <v>0</v>
      </c>
      <c r="L33" s="96">
        <f t="shared" si="14"/>
        <v>0</v>
      </c>
      <c r="M33" s="96">
        <f t="shared" si="14"/>
        <v>0</v>
      </c>
      <c r="N33" s="96">
        <f t="shared" si="14"/>
        <v>0</v>
      </c>
      <c r="O33" s="215">
        <f t="shared" si="14"/>
        <v>0</v>
      </c>
      <c r="P33" s="170">
        <f t="shared" si="14"/>
        <v>0</v>
      </c>
      <c r="Q33" s="170">
        <f t="shared" si="14"/>
        <v>0</v>
      </c>
      <c r="R33" s="164">
        <f t="shared" si="14"/>
        <v>0</v>
      </c>
      <c r="S33" s="95">
        <f t="shared" si="13"/>
        <v>0</v>
      </c>
      <c r="T33" s="95">
        <f t="shared" si="2"/>
        <v>0</v>
      </c>
    </row>
    <row r="34" spans="1:20" s="82" customFormat="1" ht="13.5" customHeight="1">
      <c r="A34" s="261"/>
      <c r="B34" s="39" t="s">
        <v>186</v>
      </c>
      <c r="C34" s="64"/>
      <c r="D34" s="96">
        <f>D35</f>
        <v>1373563000</v>
      </c>
      <c r="E34" s="96">
        <f t="shared" si="14"/>
        <v>0</v>
      </c>
      <c r="F34" s="96">
        <f t="shared" si="14"/>
        <v>0</v>
      </c>
      <c r="G34" s="96">
        <f t="shared" si="14"/>
        <v>1373563000</v>
      </c>
      <c r="H34" s="96">
        <f t="shared" si="14"/>
        <v>0</v>
      </c>
      <c r="I34" s="96">
        <f t="shared" si="14"/>
        <v>0</v>
      </c>
      <c r="J34" s="96">
        <f t="shared" si="14"/>
        <v>0</v>
      </c>
      <c r="K34" s="96">
        <f t="shared" si="14"/>
        <v>0</v>
      </c>
      <c r="L34" s="96">
        <f t="shared" si="14"/>
        <v>0</v>
      </c>
      <c r="M34" s="96">
        <f t="shared" si="14"/>
        <v>0</v>
      </c>
      <c r="N34" s="96">
        <f t="shared" si="14"/>
        <v>0</v>
      </c>
      <c r="O34" s="215">
        <f t="shared" si="14"/>
        <v>0</v>
      </c>
      <c r="P34" s="170">
        <f t="shared" si="14"/>
        <v>0</v>
      </c>
      <c r="Q34" s="170">
        <f t="shared" si="14"/>
        <v>0</v>
      </c>
      <c r="R34" s="164">
        <f t="shared" si="14"/>
        <v>0</v>
      </c>
      <c r="S34" s="170">
        <f t="shared" si="14"/>
        <v>0</v>
      </c>
      <c r="T34" s="95">
        <f t="shared" si="2"/>
        <v>0</v>
      </c>
    </row>
    <row r="35" spans="1:20" s="38" customFormat="1" ht="13.5" customHeight="1">
      <c r="A35" s="260"/>
      <c r="B35" s="37"/>
      <c r="C35" s="62" t="s">
        <v>186</v>
      </c>
      <c r="D35" s="100">
        <f>SUM(E35:R35)</f>
        <v>1373563000</v>
      </c>
      <c r="E35" s="100"/>
      <c r="F35" s="80"/>
      <c r="G35" s="80">
        <f>'[14]기특'!$D$57</f>
        <v>1373563000</v>
      </c>
      <c r="H35" s="80"/>
      <c r="I35" s="80"/>
      <c r="J35" s="80"/>
      <c r="K35" s="80"/>
      <c r="L35" s="80"/>
      <c r="M35" s="80"/>
      <c r="N35" s="80"/>
      <c r="O35" s="216"/>
      <c r="P35" s="81"/>
      <c r="Q35" s="81"/>
      <c r="R35" s="161"/>
      <c r="S35" s="95">
        <f t="shared" si="13"/>
        <v>0</v>
      </c>
      <c r="T35" s="95">
        <f t="shared" si="2"/>
        <v>0</v>
      </c>
    </row>
    <row r="36" spans="1:20" s="38" customFormat="1" ht="13.5" customHeight="1">
      <c r="A36" s="260"/>
      <c r="B36" s="37"/>
      <c r="C36" s="62"/>
      <c r="D36" s="102"/>
      <c r="E36" s="102"/>
      <c r="F36" s="51"/>
      <c r="G36" s="51"/>
      <c r="H36" s="51"/>
      <c r="I36" s="51"/>
      <c r="J36" s="51"/>
      <c r="K36" s="51"/>
      <c r="L36" s="51"/>
      <c r="M36" s="51"/>
      <c r="N36" s="51"/>
      <c r="O36" s="107"/>
      <c r="P36" s="50"/>
      <c r="Q36" s="50"/>
      <c r="R36" s="161"/>
      <c r="S36" s="95">
        <f t="shared" si="13"/>
        <v>0</v>
      </c>
      <c r="T36" s="95">
        <f t="shared" si="2"/>
        <v>0</v>
      </c>
    </row>
    <row r="37" spans="1:20" s="38" customFormat="1" ht="13.5" customHeight="1">
      <c r="A37" s="262"/>
      <c r="B37" s="40"/>
      <c r="C37" s="65"/>
      <c r="D37" s="101"/>
      <c r="E37" s="101"/>
      <c r="F37" s="51"/>
      <c r="G37" s="51"/>
      <c r="H37" s="51"/>
      <c r="I37" s="51"/>
      <c r="J37" s="51"/>
      <c r="K37" s="51"/>
      <c r="L37" s="51"/>
      <c r="M37" s="51"/>
      <c r="N37" s="51"/>
      <c r="O37" s="107"/>
      <c r="P37" s="50"/>
      <c r="Q37" s="50"/>
      <c r="R37" s="107"/>
      <c r="S37" s="95">
        <f t="shared" si="13"/>
        <v>0</v>
      </c>
      <c r="T37" s="95">
        <f t="shared" si="2"/>
        <v>0</v>
      </c>
    </row>
    <row r="38" spans="1:20" s="38" customFormat="1" ht="13.5" customHeight="1" thickBot="1">
      <c r="A38" s="273" t="s">
        <v>8</v>
      </c>
      <c r="B38" s="274"/>
      <c r="C38" s="275"/>
      <c r="D38" s="103">
        <f>D40+D67+D146+D156+D175</f>
        <v>3080291725</v>
      </c>
      <c r="E38" s="103">
        <f>E40+E67+E146+E156+E175</f>
        <v>4653240</v>
      </c>
      <c r="F38" s="103">
        <f aca="true" t="shared" si="15" ref="F38:R38">F40+F67+F146+F156+F175</f>
        <v>1184235</v>
      </c>
      <c r="G38" s="103">
        <f t="shared" si="15"/>
        <v>1536471010</v>
      </c>
      <c r="H38" s="103">
        <f t="shared" si="15"/>
        <v>2559960</v>
      </c>
      <c r="I38" s="103">
        <f t="shared" si="15"/>
        <v>259780</v>
      </c>
      <c r="J38" s="103">
        <f t="shared" si="15"/>
        <v>269448518</v>
      </c>
      <c r="K38" s="103">
        <f t="shared" si="15"/>
        <v>71664580</v>
      </c>
      <c r="L38" s="103">
        <f t="shared" si="15"/>
        <v>362055823</v>
      </c>
      <c r="M38" s="103">
        <f t="shared" si="15"/>
        <v>823793362</v>
      </c>
      <c r="N38" s="103">
        <f t="shared" si="15"/>
        <v>7693400</v>
      </c>
      <c r="O38" s="212">
        <f t="shared" si="15"/>
        <v>507817</v>
      </c>
      <c r="P38" s="210">
        <f t="shared" si="15"/>
        <v>0</v>
      </c>
      <c r="Q38" s="103">
        <f t="shared" si="15"/>
        <v>0</v>
      </c>
      <c r="R38" s="103">
        <f t="shared" si="15"/>
        <v>0</v>
      </c>
      <c r="S38" s="95">
        <f t="shared" si="13"/>
        <v>0</v>
      </c>
      <c r="T38" s="95">
        <f t="shared" si="2"/>
        <v>0</v>
      </c>
    </row>
    <row r="39" spans="1:20" s="38" customFormat="1" ht="13.5" customHeight="1" thickTop="1">
      <c r="A39" s="260"/>
      <c r="B39" s="37"/>
      <c r="C39" s="62"/>
      <c r="D39" s="101"/>
      <c r="E39" s="101"/>
      <c r="F39" s="51"/>
      <c r="G39" s="51"/>
      <c r="H39" s="51"/>
      <c r="I39" s="51"/>
      <c r="J39" s="51"/>
      <c r="K39" s="51"/>
      <c r="L39" s="51"/>
      <c r="M39" s="51"/>
      <c r="N39" s="51"/>
      <c r="O39" s="107"/>
      <c r="P39" s="50"/>
      <c r="Q39" s="50"/>
      <c r="R39" s="107"/>
      <c r="S39" s="95">
        <f t="shared" si="13"/>
        <v>0</v>
      </c>
      <c r="T39" s="95">
        <f t="shared" si="2"/>
        <v>0</v>
      </c>
    </row>
    <row r="40" spans="1:20" s="38" customFormat="1" ht="13.5" customHeight="1">
      <c r="A40" s="263" t="s">
        <v>27</v>
      </c>
      <c r="B40" s="41"/>
      <c r="C40" s="66"/>
      <c r="D40" s="99">
        <f>D41+D54+D61+D64</f>
        <v>97644480</v>
      </c>
      <c r="E40" s="99">
        <f aca="true" t="shared" si="16" ref="E40:R40">E41+E54+E61+E64</f>
        <v>0</v>
      </c>
      <c r="F40" s="99">
        <f t="shared" si="16"/>
        <v>0</v>
      </c>
      <c r="G40" s="99">
        <f t="shared" si="16"/>
        <v>35000000</v>
      </c>
      <c r="H40" s="99">
        <f t="shared" si="16"/>
        <v>0</v>
      </c>
      <c r="I40" s="99">
        <f t="shared" si="16"/>
        <v>0</v>
      </c>
      <c r="J40" s="99">
        <f t="shared" si="16"/>
        <v>0</v>
      </c>
      <c r="K40" s="99">
        <f t="shared" si="16"/>
        <v>0</v>
      </c>
      <c r="L40" s="99">
        <f t="shared" si="16"/>
        <v>795480</v>
      </c>
      <c r="M40" s="99">
        <f t="shared" si="16"/>
        <v>61849000</v>
      </c>
      <c r="N40" s="99">
        <f t="shared" si="16"/>
        <v>0</v>
      </c>
      <c r="O40" s="213">
        <f t="shared" si="16"/>
        <v>0</v>
      </c>
      <c r="P40" s="136">
        <f t="shared" si="16"/>
        <v>0</v>
      </c>
      <c r="Q40" s="136">
        <f t="shared" si="16"/>
        <v>0</v>
      </c>
      <c r="R40" s="166">
        <f t="shared" si="16"/>
        <v>0</v>
      </c>
      <c r="S40" s="95">
        <f t="shared" si="13"/>
        <v>0</v>
      </c>
      <c r="T40" s="95">
        <f t="shared" si="2"/>
        <v>0</v>
      </c>
    </row>
    <row r="41" spans="1:20" s="38" customFormat="1" ht="12" hidden="1">
      <c r="A41" s="263"/>
      <c r="B41" s="41" t="s">
        <v>9</v>
      </c>
      <c r="C41" s="66"/>
      <c r="D41" s="99">
        <f>SUM(D42:D53)</f>
        <v>0</v>
      </c>
      <c r="E41" s="99">
        <f aca="true" t="shared" si="17" ref="E41:R41">SUM(E42:E53)</f>
        <v>0</v>
      </c>
      <c r="F41" s="99">
        <f t="shared" si="17"/>
        <v>0</v>
      </c>
      <c r="G41" s="99">
        <f t="shared" si="17"/>
        <v>0</v>
      </c>
      <c r="H41" s="99">
        <f t="shared" si="17"/>
        <v>0</v>
      </c>
      <c r="I41" s="99">
        <f t="shared" si="17"/>
        <v>0</v>
      </c>
      <c r="J41" s="99">
        <f t="shared" si="17"/>
        <v>0</v>
      </c>
      <c r="K41" s="99">
        <f t="shared" si="17"/>
        <v>0</v>
      </c>
      <c r="L41" s="99">
        <f t="shared" si="17"/>
        <v>0</v>
      </c>
      <c r="M41" s="99">
        <f t="shared" si="17"/>
        <v>0</v>
      </c>
      <c r="N41" s="99">
        <f t="shared" si="17"/>
        <v>0</v>
      </c>
      <c r="O41" s="213">
        <f t="shared" si="17"/>
        <v>0</v>
      </c>
      <c r="P41" s="136">
        <f t="shared" si="17"/>
        <v>0</v>
      </c>
      <c r="Q41" s="136">
        <f t="shared" si="17"/>
        <v>0</v>
      </c>
      <c r="R41" s="166">
        <f t="shared" si="17"/>
        <v>0</v>
      </c>
      <c r="S41" s="95">
        <f t="shared" si="13"/>
        <v>0</v>
      </c>
      <c r="T41" s="95">
        <f t="shared" si="2"/>
        <v>0</v>
      </c>
    </row>
    <row r="42" spans="1:20" s="38" customFormat="1" ht="12" hidden="1">
      <c r="A42" s="264"/>
      <c r="B42" s="137"/>
      <c r="C42" s="125" t="s">
        <v>74</v>
      </c>
      <c r="D42" s="100">
        <f aca="true" t="shared" si="18" ref="D42:D56">SUM(E42:R42)</f>
        <v>0</v>
      </c>
      <c r="E42" s="102"/>
      <c r="F42" s="51"/>
      <c r="G42" s="51"/>
      <c r="H42" s="51"/>
      <c r="I42" s="51"/>
      <c r="J42" s="80"/>
      <c r="K42" s="80"/>
      <c r="L42" s="80"/>
      <c r="M42" s="80"/>
      <c r="N42" s="80"/>
      <c r="O42" s="216"/>
      <c r="P42" s="81"/>
      <c r="Q42" s="81"/>
      <c r="R42" s="161"/>
      <c r="S42" s="95">
        <f t="shared" si="13"/>
        <v>0</v>
      </c>
      <c r="T42" s="95">
        <f t="shared" si="2"/>
        <v>0</v>
      </c>
    </row>
    <row r="43" spans="1:20" s="38" customFormat="1" ht="12" hidden="1">
      <c r="A43" s="264"/>
      <c r="B43" s="137"/>
      <c r="C43" s="125" t="s">
        <v>220</v>
      </c>
      <c r="D43" s="100">
        <f t="shared" si="18"/>
        <v>0</v>
      </c>
      <c r="E43" s="102"/>
      <c r="F43" s="51"/>
      <c r="G43" s="51"/>
      <c r="H43" s="51"/>
      <c r="I43" s="51"/>
      <c r="J43" s="80"/>
      <c r="K43" s="80"/>
      <c r="L43" s="80"/>
      <c r="M43" s="80"/>
      <c r="N43" s="80"/>
      <c r="O43" s="216"/>
      <c r="P43" s="81"/>
      <c r="Q43" s="81"/>
      <c r="R43" s="161"/>
      <c r="S43" s="95">
        <f t="shared" si="13"/>
        <v>0</v>
      </c>
      <c r="T43" s="95">
        <f t="shared" si="2"/>
        <v>0</v>
      </c>
    </row>
    <row r="44" spans="1:20" s="38" customFormat="1" ht="12" hidden="1">
      <c r="A44" s="264"/>
      <c r="B44" s="137"/>
      <c r="C44" s="125" t="s">
        <v>75</v>
      </c>
      <c r="D44" s="100">
        <f t="shared" si="18"/>
        <v>0</v>
      </c>
      <c r="E44" s="102"/>
      <c r="F44" s="51"/>
      <c r="G44" s="51"/>
      <c r="H44" s="51"/>
      <c r="I44" s="51"/>
      <c r="J44" s="80"/>
      <c r="K44" s="80"/>
      <c r="L44" s="80"/>
      <c r="M44" s="80"/>
      <c r="N44" s="80"/>
      <c r="O44" s="216"/>
      <c r="P44" s="81"/>
      <c r="Q44" s="81"/>
      <c r="R44" s="161"/>
      <c r="S44" s="95">
        <f t="shared" si="13"/>
        <v>0</v>
      </c>
      <c r="T44" s="95">
        <f t="shared" si="2"/>
        <v>0</v>
      </c>
    </row>
    <row r="45" spans="1:20" s="38" customFormat="1" ht="12" hidden="1">
      <c r="A45" s="264"/>
      <c r="B45" s="137"/>
      <c r="C45" s="125" t="s">
        <v>76</v>
      </c>
      <c r="D45" s="100">
        <f t="shared" si="18"/>
        <v>0</v>
      </c>
      <c r="E45" s="102"/>
      <c r="F45" s="51"/>
      <c r="G45" s="51"/>
      <c r="H45" s="51"/>
      <c r="I45" s="51"/>
      <c r="J45" s="80"/>
      <c r="K45" s="80"/>
      <c r="L45" s="80"/>
      <c r="M45" s="80"/>
      <c r="N45" s="80"/>
      <c r="O45" s="216"/>
      <c r="P45" s="81"/>
      <c r="Q45" s="81"/>
      <c r="R45" s="161"/>
      <c r="S45" s="95">
        <f t="shared" si="13"/>
        <v>0</v>
      </c>
      <c r="T45" s="95">
        <f t="shared" si="2"/>
        <v>0</v>
      </c>
    </row>
    <row r="46" spans="1:20" s="38" customFormat="1" ht="12" hidden="1">
      <c r="A46" s="264"/>
      <c r="B46" s="137"/>
      <c r="C46" s="125" t="s">
        <v>77</v>
      </c>
      <c r="D46" s="100">
        <f t="shared" si="18"/>
        <v>0</v>
      </c>
      <c r="E46" s="102"/>
      <c r="F46" s="51"/>
      <c r="G46" s="51"/>
      <c r="H46" s="51"/>
      <c r="I46" s="51"/>
      <c r="J46" s="80"/>
      <c r="K46" s="80"/>
      <c r="L46" s="80"/>
      <c r="M46" s="80"/>
      <c r="N46" s="80"/>
      <c r="O46" s="216"/>
      <c r="P46" s="81"/>
      <c r="Q46" s="81"/>
      <c r="R46" s="161"/>
      <c r="S46" s="95">
        <f t="shared" si="13"/>
        <v>0</v>
      </c>
      <c r="T46" s="95">
        <f t="shared" si="2"/>
        <v>0</v>
      </c>
    </row>
    <row r="47" spans="1:20" s="38" customFormat="1" ht="12" hidden="1">
      <c r="A47" s="264"/>
      <c r="B47" s="137"/>
      <c r="C47" s="125" t="s">
        <v>78</v>
      </c>
      <c r="D47" s="100">
        <f t="shared" si="18"/>
        <v>0</v>
      </c>
      <c r="E47" s="102"/>
      <c r="F47" s="51"/>
      <c r="G47" s="51"/>
      <c r="H47" s="51"/>
      <c r="I47" s="51"/>
      <c r="J47" s="80"/>
      <c r="K47" s="80"/>
      <c r="L47" s="80"/>
      <c r="M47" s="80"/>
      <c r="N47" s="80"/>
      <c r="O47" s="216"/>
      <c r="P47" s="81"/>
      <c r="Q47" s="81"/>
      <c r="R47" s="161"/>
      <c r="S47" s="95">
        <f t="shared" si="13"/>
        <v>0</v>
      </c>
      <c r="T47" s="95">
        <f t="shared" si="2"/>
        <v>0</v>
      </c>
    </row>
    <row r="48" spans="1:20" s="38" customFormat="1" ht="12" hidden="1">
      <c r="A48" s="264"/>
      <c r="B48" s="137"/>
      <c r="C48" s="125" t="s">
        <v>79</v>
      </c>
      <c r="D48" s="100">
        <f t="shared" si="18"/>
        <v>0</v>
      </c>
      <c r="E48" s="102"/>
      <c r="F48" s="51"/>
      <c r="G48" s="51"/>
      <c r="H48" s="51"/>
      <c r="I48" s="51"/>
      <c r="J48" s="80"/>
      <c r="K48" s="80"/>
      <c r="L48" s="80"/>
      <c r="M48" s="80"/>
      <c r="N48" s="80"/>
      <c r="O48" s="216"/>
      <c r="P48" s="81"/>
      <c r="Q48" s="81"/>
      <c r="R48" s="161"/>
      <c r="S48" s="95">
        <f t="shared" si="13"/>
        <v>0</v>
      </c>
      <c r="T48" s="95">
        <f t="shared" si="2"/>
        <v>0</v>
      </c>
    </row>
    <row r="49" spans="1:20" s="38" customFormat="1" ht="14.25" customHeight="1" hidden="1">
      <c r="A49" s="264"/>
      <c r="B49" s="137"/>
      <c r="C49" s="125" t="s">
        <v>80</v>
      </c>
      <c r="D49" s="100">
        <f t="shared" si="18"/>
        <v>0</v>
      </c>
      <c r="E49" s="102"/>
      <c r="F49" s="51"/>
      <c r="G49" s="51"/>
      <c r="H49" s="51"/>
      <c r="I49" s="51"/>
      <c r="J49" s="80"/>
      <c r="K49" s="80"/>
      <c r="L49" s="80"/>
      <c r="M49" s="80"/>
      <c r="N49" s="80"/>
      <c r="O49" s="216"/>
      <c r="P49" s="81"/>
      <c r="Q49" s="81"/>
      <c r="R49" s="161"/>
      <c r="S49" s="95">
        <f t="shared" si="13"/>
        <v>0</v>
      </c>
      <c r="T49" s="95">
        <f t="shared" si="2"/>
        <v>0</v>
      </c>
    </row>
    <row r="50" spans="1:20" s="38" customFormat="1" ht="12" hidden="1">
      <c r="A50" s="264"/>
      <c r="B50" s="137"/>
      <c r="C50" s="125" t="s">
        <v>81</v>
      </c>
      <c r="D50" s="100">
        <f t="shared" si="18"/>
        <v>0</v>
      </c>
      <c r="E50" s="102"/>
      <c r="F50" s="51"/>
      <c r="G50" s="51"/>
      <c r="H50" s="51"/>
      <c r="I50" s="51"/>
      <c r="J50" s="80"/>
      <c r="K50" s="80"/>
      <c r="L50" s="80"/>
      <c r="M50" s="80"/>
      <c r="N50" s="80"/>
      <c r="O50" s="216"/>
      <c r="P50" s="81"/>
      <c r="Q50" s="81"/>
      <c r="R50" s="161"/>
      <c r="S50" s="95">
        <f t="shared" si="13"/>
        <v>0</v>
      </c>
      <c r="T50" s="95">
        <f t="shared" si="2"/>
        <v>0</v>
      </c>
    </row>
    <row r="51" spans="1:20" s="38" customFormat="1" ht="12" hidden="1">
      <c r="A51" s="264"/>
      <c r="B51" s="137"/>
      <c r="C51" s="125" t="s">
        <v>82</v>
      </c>
      <c r="D51" s="100">
        <f t="shared" si="18"/>
        <v>0</v>
      </c>
      <c r="E51" s="102"/>
      <c r="F51" s="51"/>
      <c r="G51" s="51"/>
      <c r="H51" s="51"/>
      <c r="I51" s="51"/>
      <c r="J51" s="80"/>
      <c r="K51" s="80"/>
      <c r="L51" s="80"/>
      <c r="M51" s="80"/>
      <c r="N51" s="80"/>
      <c r="O51" s="216"/>
      <c r="P51" s="81"/>
      <c r="Q51" s="81"/>
      <c r="R51" s="161"/>
      <c r="S51" s="95">
        <f t="shared" si="13"/>
        <v>0</v>
      </c>
      <c r="T51" s="95">
        <f t="shared" si="2"/>
        <v>0</v>
      </c>
    </row>
    <row r="52" spans="1:20" s="38" customFormat="1" ht="14.25" customHeight="1" hidden="1">
      <c r="A52" s="264"/>
      <c r="B52" s="137"/>
      <c r="C52" s="125" t="s">
        <v>83</v>
      </c>
      <c r="D52" s="100">
        <f t="shared" si="18"/>
        <v>0</v>
      </c>
      <c r="E52" s="102"/>
      <c r="F52" s="51"/>
      <c r="G52" s="51"/>
      <c r="H52" s="51"/>
      <c r="I52" s="51"/>
      <c r="J52" s="80"/>
      <c r="K52" s="80"/>
      <c r="L52" s="80"/>
      <c r="M52" s="80"/>
      <c r="N52" s="80"/>
      <c r="O52" s="216"/>
      <c r="P52" s="81"/>
      <c r="Q52" s="81"/>
      <c r="R52" s="161"/>
      <c r="S52" s="95">
        <f t="shared" si="13"/>
        <v>0</v>
      </c>
      <c r="T52" s="95">
        <f t="shared" si="2"/>
        <v>0</v>
      </c>
    </row>
    <row r="53" spans="1:20" s="38" customFormat="1" ht="12" hidden="1">
      <c r="A53" s="264"/>
      <c r="B53" s="137"/>
      <c r="C53" s="125" t="s">
        <v>84</v>
      </c>
      <c r="D53" s="100">
        <f t="shared" si="18"/>
        <v>0</v>
      </c>
      <c r="E53" s="102"/>
      <c r="F53" s="51"/>
      <c r="G53" s="51"/>
      <c r="H53" s="51"/>
      <c r="I53" s="51"/>
      <c r="J53" s="80"/>
      <c r="K53" s="51"/>
      <c r="L53" s="51"/>
      <c r="M53" s="51"/>
      <c r="N53" s="51"/>
      <c r="O53" s="107"/>
      <c r="P53" s="50"/>
      <c r="Q53" s="50"/>
      <c r="R53" s="161"/>
      <c r="S53" s="95">
        <f t="shared" si="13"/>
        <v>0</v>
      </c>
      <c r="T53" s="95">
        <f t="shared" si="2"/>
        <v>0</v>
      </c>
    </row>
    <row r="54" spans="1:20" s="82" customFormat="1" ht="13.5" customHeight="1" hidden="1">
      <c r="A54" s="263"/>
      <c r="B54" s="41" t="s">
        <v>100</v>
      </c>
      <c r="C54" s="66"/>
      <c r="D54" s="99">
        <f>SUM(D55:D60)</f>
        <v>0</v>
      </c>
      <c r="E54" s="99">
        <f aca="true" t="shared" si="19" ref="E54:R54">SUM(E55:E60)</f>
        <v>0</v>
      </c>
      <c r="F54" s="99">
        <f t="shared" si="19"/>
        <v>0</v>
      </c>
      <c r="G54" s="99">
        <f t="shared" si="19"/>
        <v>0</v>
      </c>
      <c r="H54" s="99">
        <f t="shared" si="19"/>
        <v>0</v>
      </c>
      <c r="I54" s="99">
        <f t="shared" si="19"/>
        <v>0</v>
      </c>
      <c r="J54" s="99">
        <f t="shared" si="19"/>
        <v>0</v>
      </c>
      <c r="K54" s="99">
        <f t="shared" si="19"/>
        <v>0</v>
      </c>
      <c r="L54" s="99">
        <f t="shared" si="19"/>
        <v>0</v>
      </c>
      <c r="M54" s="99">
        <f t="shared" si="19"/>
        <v>0</v>
      </c>
      <c r="N54" s="99">
        <f t="shared" si="19"/>
        <v>0</v>
      </c>
      <c r="O54" s="213">
        <f t="shared" si="19"/>
        <v>0</v>
      </c>
      <c r="P54" s="136">
        <f t="shared" si="19"/>
        <v>0</v>
      </c>
      <c r="Q54" s="136">
        <f t="shared" si="19"/>
        <v>0</v>
      </c>
      <c r="R54" s="166">
        <f t="shared" si="19"/>
        <v>0</v>
      </c>
      <c r="S54" s="95">
        <f t="shared" si="13"/>
        <v>0</v>
      </c>
      <c r="T54" s="95">
        <f t="shared" si="2"/>
        <v>0</v>
      </c>
    </row>
    <row r="55" spans="1:20" s="38" customFormat="1" ht="13.5" customHeight="1" hidden="1">
      <c r="A55" s="264"/>
      <c r="B55" s="137"/>
      <c r="C55" s="125" t="s">
        <v>85</v>
      </c>
      <c r="D55" s="100">
        <f t="shared" si="18"/>
        <v>0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217"/>
      <c r="P55" s="143"/>
      <c r="Q55" s="143"/>
      <c r="R55" s="167"/>
      <c r="S55" s="95"/>
      <c r="T55" s="95">
        <f t="shared" si="2"/>
        <v>0</v>
      </c>
    </row>
    <row r="56" spans="1:20" s="38" customFormat="1" ht="13.5" customHeight="1" hidden="1">
      <c r="A56" s="264"/>
      <c r="B56" s="137"/>
      <c r="C56" s="125" t="s">
        <v>86</v>
      </c>
      <c r="D56" s="100">
        <f t="shared" si="18"/>
        <v>0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217"/>
      <c r="P56" s="143"/>
      <c r="Q56" s="143"/>
      <c r="R56" s="167"/>
      <c r="S56" s="95"/>
      <c r="T56" s="95">
        <f t="shared" si="2"/>
        <v>0</v>
      </c>
    </row>
    <row r="57" spans="1:20" s="38" customFormat="1" ht="13.5" customHeight="1" hidden="1">
      <c r="A57" s="264"/>
      <c r="B57" s="137"/>
      <c r="C57" s="125" t="s">
        <v>10</v>
      </c>
      <c r="D57" s="100">
        <f>SUM(E57:R57)</f>
        <v>0</v>
      </c>
      <c r="E57" s="102"/>
      <c r="F57" s="51"/>
      <c r="G57" s="51"/>
      <c r="H57" s="51"/>
      <c r="I57" s="51"/>
      <c r="J57" s="80"/>
      <c r="K57" s="51"/>
      <c r="L57" s="51"/>
      <c r="M57" s="51"/>
      <c r="N57" s="51"/>
      <c r="O57" s="107"/>
      <c r="P57" s="50"/>
      <c r="Q57" s="50"/>
      <c r="R57" s="161"/>
      <c r="S57" s="95">
        <f aca="true" t="shared" si="20" ref="S57:S63">D57-SUM(E57:R57)</f>
        <v>0</v>
      </c>
      <c r="T57" s="95">
        <f t="shared" si="2"/>
        <v>0</v>
      </c>
    </row>
    <row r="58" spans="1:20" s="38" customFormat="1" ht="12" hidden="1">
      <c r="A58" s="264"/>
      <c r="B58" s="137"/>
      <c r="C58" s="125" t="s">
        <v>189</v>
      </c>
      <c r="D58" s="100">
        <f>SUM(E58:R58)</f>
        <v>0</v>
      </c>
      <c r="E58" s="102"/>
      <c r="F58" s="51"/>
      <c r="G58" s="51"/>
      <c r="H58" s="51"/>
      <c r="I58" s="51"/>
      <c r="J58" s="80"/>
      <c r="K58" s="51"/>
      <c r="L58" s="51"/>
      <c r="M58" s="51"/>
      <c r="N58" s="51"/>
      <c r="O58" s="107"/>
      <c r="P58" s="50"/>
      <c r="Q58" s="50"/>
      <c r="R58" s="161"/>
      <c r="S58" s="95">
        <f t="shared" si="20"/>
        <v>0</v>
      </c>
      <c r="T58" s="95">
        <f t="shared" si="2"/>
        <v>0</v>
      </c>
    </row>
    <row r="59" spans="1:20" s="38" customFormat="1" ht="12" hidden="1">
      <c r="A59" s="263"/>
      <c r="B59" s="41"/>
      <c r="C59" s="125" t="s">
        <v>87</v>
      </c>
      <c r="D59" s="100">
        <f>SUM(E59:R59)</f>
        <v>0</v>
      </c>
      <c r="E59" s="102"/>
      <c r="F59" s="51"/>
      <c r="G59" s="51"/>
      <c r="H59" s="51"/>
      <c r="I59" s="51"/>
      <c r="J59" s="80"/>
      <c r="K59" s="80"/>
      <c r="L59" s="80"/>
      <c r="M59" s="80"/>
      <c r="N59" s="80"/>
      <c r="O59" s="216"/>
      <c r="P59" s="81"/>
      <c r="Q59" s="81"/>
      <c r="R59" s="161"/>
      <c r="S59" s="95">
        <f t="shared" si="20"/>
        <v>0</v>
      </c>
      <c r="T59" s="95">
        <f t="shared" si="2"/>
        <v>0</v>
      </c>
    </row>
    <row r="60" spans="1:20" s="38" customFormat="1" ht="12" hidden="1">
      <c r="A60" s="263"/>
      <c r="B60" s="41"/>
      <c r="C60" s="125" t="s">
        <v>285</v>
      </c>
      <c r="D60" s="100">
        <f>SUM(E60:R60)</f>
        <v>0</v>
      </c>
      <c r="E60" s="102"/>
      <c r="F60" s="51"/>
      <c r="G60" s="51"/>
      <c r="H60" s="51"/>
      <c r="I60" s="51"/>
      <c r="J60" s="80"/>
      <c r="K60" s="80"/>
      <c r="L60" s="80"/>
      <c r="M60" s="80"/>
      <c r="N60" s="80"/>
      <c r="O60" s="216"/>
      <c r="P60" s="81"/>
      <c r="Q60" s="81"/>
      <c r="R60" s="161"/>
      <c r="S60" s="95">
        <f t="shared" si="20"/>
        <v>0</v>
      </c>
      <c r="T60" s="95">
        <f t="shared" si="2"/>
        <v>0</v>
      </c>
    </row>
    <row r="61" spans="1:20" s="82" customFormat="1" ht="13.5" customHeight="1">
      <c r="A61" s="263"/>
      <c r="B61" s="41" t="s">
        <v>101</v>
      </c>
      <c r="C61" s="66"/>
      <c r="D61" s="99">
        <f>SUM(D62:D63)</f>
        <v>97644480</v>
      </c>
      <c r="E61" s="99">
        <f aca="true" t="shared" si="21" ref="E61:R61">SUM(E62:E63)</f>
        <v>0</v>
      </c>
      <c r="F61" s="99">
        <f t="shared" si="21"/>
        <v>0</v>
      </c>
      <c r="G61" s="99">
        <f t="shared" si="21"/>
        <v>35000000</v>
      </c>
      <c r="H61" s="99">
        <f t="shared" si="21"/>
        <v>0</v>
      </c>
      <c r="I61" s="99">
        <f t="shared" si="21"/>
        <v>0</v>
      </c>
      <c r="J61" s="99">
        <f t="shared" si="21"/>
        <v>0</v>
      </c>
      <c r="K61" s="99">
        <f t="shared" si="21"/>
        <v>0</v>
      </c>
      <c r="L61" s="99">
        <f t="shared" si="21"/>
        <v>795480</v>
      </c>
      <c r="M61" s="99">
        <f t="shared" si="21"/>
        <v>61849000</v>
      </c>
      <c r="N61" s="99">
        <f t="shared" si="21"/>
        <v>0</v>
      </c>
      <c r="O61" s="213">
        <f t="shared" si="21"/>
        <v>0</v>
      </c>
      <c r="P61" s="136">
        <f t="shared" si="21"/>
        <v>0</v>
      </c>
      <c r="Q61" s="136">
        <f t="shared" si="21"/>
        <v>0</v>
      </c>
      <c r="R61" s="166">
        <f t="shared" si="21"/>
        <v>0</v>
      </c>
      <c r="S61" s="95">
        <f t="shared" si="20"/>
        <v>0</v>
      </c>
      <c r="T61" s="95">
        <f t="shared" si="2"/>
        <v>0</v>
      </c>
    </row>
    <row r="62" spans="1:20" s="38" customFormat="1" ht="13.5" customHeight="1" hidden="1">
      <c r="A62" s="263"/>
      <c r="B62" s="41"/>
      <c r="C62" s="125" t="s">
        <v>88</v>
      </c>
      <c r="D62" s="100">
        <f>SUM(E62:R62)</f>
        <v>0</v>
      </c>
      <c r="E62" s="102"/>
      <c r="F62" s="51"/>
      <c r="G62" s="51"/>
      <c r="H62" s="51"/>
      <c r="I62" s="51"/>
      <c r="J62" s="80"/>
      <c r="K62" s="51"/>
      <c r="L62" s="51"/>
      <c r="M62" s="51"/>
      <c r="N62" s="51"/>
      <c r="O62" s="107"/>
      <c r="P62" s="50"/>
      <c r="Q62" s="50"/>
      <c r="R62" s="161"/>
      <c r="S62" s="95">
        <f t="shared" si="20"/>
        <v>0</v>
      </c>
      <c r="T62" s="95">
        <f t="shared" si="2"/>
        <v>0</v>
      </c>
    </row>
    <row r="63" spans="1:20" s="38" customFormat="1" ht="13.5" customHeight="1">
      <c r="A63" s="263"/>
      <c r="B63" s="41"/>
      <c r="C63" s="125" t="s">
        <v>89</v>
      </c>
      <c r="D63" s="100">
        <f>SUM(E63:R63)</f>
        <v>97644480</v>
      </c>
      <c r="E63" s="102"/>
      <c r="F63" s="51"/>
      <c r="G63" s="51">
        <f>'[5]의료급여'!$A$16</f>
        <v>35000000</v>
      </c>
      <c r="H63" s="51"/>
      <c r="I63" s="51"/>
      <c r="J63" s="80"/>
      <c r="K63" s="80"/>
      <c r="L63" s="80">
        <f>'[10]농공단지'!$A$34</f>
        <v>795480</v>
      </c>
      <c r="M63" s="80">
        <f>'[11]수질개선'!$A$19</f>
        <v>61849000</v>
      </c>
      <c r="N63" s="80"/>
      <c r="O63" s="216"/>
      <c r="P63" s="81"/>
      <c r="Q63" s="81"/>
      <c r="R63" s="161"/>
      <c r="S63" s="95">
        <f t="shared" si="20"/>
        <v>0</v>
      </c>
      <c r="T63" s="95">
        <f t="shared" si="2"/>
        <v>0</v>
      </c>
    </row>
    <row r="64" spans="1:20" s="38" customFormat="1" ht="13.5" customHeight="1" hidden="1">
      <c r="A64" s="263"/>
      <c r="B64" s="41" t="s">
        <v>209</v>
      </c>
      <c r="C64" s="66"/>
      <c r="D64" s="96">
        <f>D65</f>
        <v>0</v>
      </c>
      <c r="E64" s="96">
        <f aca="true" t="shared" si="22" ref="E64:R64">E65</f>
        <v>0</v>
      </c>
      <c r="F64" s="96">
        <f t="shared" si="22"/>
        <v>0</v>
      </c>
      <c r="G64" s="96">
        <f>G65</f>
        <v>0</v>
      </c>
      <c r="H64" s="96">
        <f t="shared" si="22"/>
        <v>0</v>
      </c>
      <c r="I64" s="96">
        <f t="shared" si="22"/>
        <v>0</v>
      </c>
      <c r="J64" s="96">
        <f t="shared" si="22"/>
        <v>0</v>
      </c>
      <c r="K64" s="96">
        <f t="shared" si="22"/>
        <v>0</v>
      </c>
      <c r="L64" s="96">
        <f t="shared" si="22"/>
        <v>0</v>
      </c>
      <c r="M64" s="96">
        <f t="shared" si="22"/>
        <v>0</v>
      </c>
      <c r="N64" s="96">
        <f t="shared" si="22"/>
        <v>0</v>
      </c>
      <c r="O64" s="215">
        <f t="shared" si="22"/>
        <v>0</v>
      </c>
      <c r="P64" s="170">
        <f t="shared" si="22"/>
        <v>0</v>
      </c>
      <c r="Q64" s="170"/>
      <c r="R64" s="164">
        <f t="shared" si="22"/>
        <v>0</v>
      </c>
      <c r="S64" s="95"/>
      <c r="T64" s="95">
        <f t="shared" si="2"/>
        <v>0</v>
      </c>
    </row>
    <row r="65" spans="1:20" s="38" customFormat="1" ht="13.5" customHeight="1" hidden="1">
      <c r="A65" s="263"/>
      <c r="B65" s="41"/>
      <c r="C65" s="125" t="s">
        <v>210</v>
      </c>
      <c r="D65" s="100">
        <f>SUM(E65:R65)</f>
        <v>0</v>
      </c>
      <c r="E65" s="102"/>
      <c r="F65" s="51"/>
      <c r="G65" s="51"/>
      <c r="H65" s="51"/>
      <c r="I65" s="51"/>
      <c r="J65" s="80"/>
      <c r="K65" s="80"/>
      <c r="L65" s="80"/>
      <c r="M65" s="80"/>
      <c r="N65" s="80"/>
      <c r="O65" s="216"/>
      <c r="P65" s="81"/>
      <c r="Q65" s="81"/>
      <c r="R65" s="168"/>
      <c r="S65" s="95"/>
      <c r="T65" s="95">
        <f t="shared" si="2"/>
        <v>0</v>
      </c>
    </row>
    <row r="66" spans="1:20" s="38" customFormat="1" ht="13.5" customHeight="1">
      <c r="A66" s="263"/>
      <c r="B66" s="41"/>
      <c r="C66" s="125"/>
      <c r="D66" s="102"/>
      <c r="E66" s="102"/>
      <c r="F66" s="51"/>
      <c r="G66" s="51"/>
      <c r="H66" s="51"/>
      <c r="I66" s="51"/>
      <c r="J66" s="51"/>
      <c r="K66" s="51"/>
      <c r="L66" s="51"/>
      <c r="M66" s="51"/>
      <c r="N66" s="51"/>
      <c r="O66" s="107"/>
      <c r="P66" s="50"/>
      <c r="Q66" s="50"/>
      <c r="R66" s="161"/>
      <c r="S66" s="95">
        <f aca="true" t="shared" si="23" ref="S66:S99">D66-SUM(E66:R66)</f>
        <v>0</v>
      </c>
      <c r="T66" s="95">
        <f t="shared" si="2"/>
        <v>0</v>
      </c>
    </row>
    <row r="67" spans="1:20" s="38" customFormat="1" ht="13.5" customHeight="1">
      <c r="A67" s="263" t="s">
        <v>28</v>
      </c>
      <c r="B67" s="41"/>
      <c r="C67" s="66"/>
      <c r="D67" s="99">
        <f>D68+D70+D72+D74+D76+D83+D88+D96+D99+D103+D106+D108+D110+D113+D116+D119+D124+D128+D131+D137+D141+D139+D133+D135</f>
        <v>931643918</v>
      </c>
      <c r="E67" s="99">
        <f aca="true" t="shared" si="24" ref="E67:R67">E68+E70+E72+E74+E76+E83+E88+E96+E99+E103+E106+E108+E110+E113+E116+E119+E124+E128+E131+E137+E141+E139+E133+E135</f>
        <v>4653240</v>
      </c>
      <c r="F67" s="99">
        <f t="shared" si="24"/>
        <v>0</v>
      </c>
      <c r="G67" s="99">
        <f t="shared" si="24"/>
        <v>127569090</v>
      </c>
      <c r="H67" s="99">
        <f t="shared" si="24"/>
        <v>2559960</v>
      </c>
      <c r="I67" s="99">
        <f t="shared" si="24"/>
        <v>259780</v>
      </c>
      <c r="J67" s="99">
        <f t="shared" si="24"/>
        <v>263165710</v>
      </c>
      <c r="K67" s="99">
        <f t="shared" si="24"/>
        <v>1641400</v>
      </c>
      <c r="L67" s="99">
        <f t="shared" si="24"/>
        <v>321019278</v>
      </c>
      <c r="M67" s="99">
        <f t="shared" si="24"/>
        <v>203082060</v>
      </c>
      <c r="N67" s="99">
        <f t="shared" si="24"/>
        <v>7693400</v>
      </c>
      <c r="O67" s="213">
        <f t="shared" si="24"/>
        <v>0</v>
      </c>
      <c r="P67" s="165">
        <f t="shared" si="24"/>
        <v>0</v>
      </c>
      <c r="Q67" s="99">
        <f t="shared" si="24"/>
        <v>0</v>
      </c>
      <c r="R67" s="99">
        <f t="shared" si="24"/>
        <v>0</v>
      </c>
      <c r="S67" s="95">
        <f t="shared" si="23"/>
        <v>0</v>
      </c>
      <c r="T67" s="95">
        <f t="shared" si="2"/>
        <v>0</v>
      </c>
    </row>
    <row r="68" spans="1:20" s="82" customFormat="1" ht="13.5" customHeight="1">
      <c r="A68" s="263"/>
      <c r="B68" s="41" t="s">
        <v>102</v>
      </c>
      <c r="C68" s="66"/>
      <c r="D68" s="99">
        <f>D69</f>
        <v>500000</v>
      </c>
      <c r="E68" s="99">
        <f aca="true" t="shared" si="25" ref="E68:R68">E69</f>
        <v>0</v>
      </c>
      <c r="F68" s="99">
        <f t="shared" si="25"/>
        <v>0</v>
      </c>
      <c r="G68" s="99">
        <f t="shared" si="25"/>
        <v>0</v>
      </c>
      <c r="H68" s="99">
        <f t="shared" si="25"/>
        <v>0</v>
      </c>
      <c r="I68" s="99">
        <f t="shared" si="25"/>
        <v>0</v>
      </c>
      <c r="J68" s="99">
        <f t="shared" si="25"/>
        <v>0</v>
      </c>
      <c r="K68" s="99">
        <f aca="true" t="shared" si="26" ref="K68:Q68">K69</f>
        <v>0</v>
      </c>
      <c r="L68" s="99">
        <f t="shared" si="26"/>
        <v>0</v>
      </c>
      <c r="M68" s="99">
        <f t="shared" si="26"/>
        <v>500000</v>
      </c>
      <c r="N68" s="99">
        <f t="shared" si="26"/>
        <v>0</v>
      </c>
      <c r="O68" s="213">
        <f t="shared" si="26"/>
        <v>0</v>
      </c>
      <c r="P68" s="136">
        <f t="shared" si="26"/>
        <v>0</v>
      </c>
      <c r="Q68" s="136">
        <f t="shared" si="26"/>
        <v>0</v>
      </c>
      <c r="R68" s="166">
        <f t="shared" si="25"/>
        <v>0</v>
      </c>
      <c r="S68" s="95">
        <f t="shared" si="23"/>
        <v>0</v>
      </c>
      <c r="T68" s="95">
        <f t="shared" si="2"/>
        <v>0</v>
      </c>
    </row>
    <row r="69" spans="1:20" s="38" customFormat="1" ht="13.5" customHeight="1">
      <c r="A69" s="263"/>
      <c r="B69" s="41"/>
      <c r="C69" s="125" t="s">
        <v>11</v>
      </c>
      <c r="D69" s="100">
        <f>SUM(E69:R69)</f>
        <v>500000</v>
      </c>
      <c r="E69" s="102"/>
      <c r="F69" s="51"/>
      <c r="G69" s="51"/>
      <c r="H69" s="51"/>
      <c r="I69" s="51"/>
      <c r="J69" s="80"/>
      <c r="K69" s="80"/>
      <c r="L69" s="80"/>
      <c r="M69" s="80">
        <f>'[11]수질개선'!$A$21</f>
        <v>500000</v>
      </c>
      <c r="N69" s="80"/>
      <c r="O69" s="216"/>
      <c r="P69" s="81"/>
      <c r="Q69" s="81"/>
      <c r="R69" s="161"/>
      <c r="S69" s="95">
        <f t="shared" si="23"/>
        <v>0</v>
      </c>
      <c r="T69" s="95">
        <f t="shared" si="2"/>
        <v>0</v>
      </c>
    </row>
    <row r="70" spans="1:20" s="82" customFormat="1" ht="13.5" customHeight="1">
      <c r="A70" s="263"/>
      <c r="B70" s="41" t="s">
        <v>103</v>
      </c>
      <c r="C70" s="66"/>
      <c r="D70" s="99">
        <f aca="true" t="shared" si="27" ref="D70:R70">D71</f>
        <v>19416500</v>
      </c>
      <c r="E70" s="99">
        <f t="shared" si="27"/>
        <v>660000</v>
      </c>
      <c r="F70" s="99">
        <f t="shared" si="27"/>
        <v>0</v>
      </c>
      <c r="G70" s="99">
        <f t="shared" si="27"/>
        <v>3820000</v>
      </c>
      <c r="H70" s="99">
        <f t="shared" si="27"/>
        <v>0</v>
      </c>
      <c r="I70" s="99">
        <f t="shared" si="27"/>
        <v>0</v>
      </c>
      <c r="J70" s="52">
        <f t="shared" si="27"/>
        <v>3455400</v>
      </c>
      <c r="K70" s="52">
        <f t="shared" si="27"/>
        <v>0</v>
      </c>
      <c r="L70" s="52">
        <f t="shared" si="27"/>
        <v>8041100</v>
      </c>
      <c r="M70" s="52">
        <f t="shared" si="27"/>
        <v>3440000</v>
      </c>
      <c r="N70" s="52">
        <f t="shared" si="27"/>
        <v>0</v>
      </c>
      <c r="O70" s="214">
        <f t="shared" si="27"/>
        <v>0</v>
      </c>
      <c r="P70" s="53">
        <f t="shared" si="27"/>
        <v>0</v>
      </c>
      <c r="Q70" s="53">
        <f t="shared" si="27"/>
        <v>0</v>
      </c>
      <c r="R70" s="163">
        <f t="shared" si="27"/>
        <v>0</v>
      </c>
      <c r="S70" s="95">
        <f t="shared" si="23"/>
        <v>0</v>
      </c>
      <c r="T70" s="95">
        <f t="shared" si="2"/>
        <v>0</v>
      </c>
    </row>
    <row r="71" spans="1:20" s="38" customFormat="1" ht="13.5" customHeight="1">
      <c r="A71" s="263"/>
      <c r="B71" s="41"/>
      <c r="C71" s="125" t="s">
        <v>12</v>
      </c>
      <c r="D71" s="100">
        <f>SUM(E71:R71)</f>
        <v>19416500</v>
      </c>
      <c r="E71" s="102">
        <f>'[3]주택사업'!$A$23</f>
        <v>660000</v>
      </c>
      <c r="F71" s="51"/>
      <c r="G71" s="51">
        <f>'[5]의료급여'!$A$18</f>
        <v>3820000</v>
      </c>
      <c r="H71" s="51"/>
      <c r="I71" s="51"/>
      <c r="J71" s="80">
        <f>'[8]발전소주변지역'!$A$22+2724700</f>
        <v>3455400</v>
      </c>
      <c r="K71" s="80"/>
      <c r="L71" s="80">
        <f>'[10]농공단지'!$A$36</f>
        <v>8041100</v>
      </c>
      <c r="M71" s="80">
        <f>'[11]수질개선'!$A$23+276000+123000</f>
        <v>3440000</v>
      </c>
      <c r="N71" s="80"/>
      <c r="O71" s="216"/>
      <c r="P71" s="81"/>
      <c r="Q71" s="81"/>
      <c r="R71" s="161"/>
      <c r="S71" s="95">
        <f t="shared" si="23"/>
        <v>0</v>
      </c>
      <c r="T71" s="95">
        <f t="shared" si="2"/>
        <v>0</v>
      </c>
    </row>
    <row r="72" spans="1:20" s="82" customFormat="1" ht="13.5" customHeight="1">
      <c r="A72" s="263"/>
      <c r="B72" s="41" t="s">
        <v>104</v>
      </c>
      <c r="C72" s="66"/>
      <c r="D72" s="99">
        <f>D73</f>
        <v>1450000</v>
      </c>
      <c r="E72" s="99">
        <f aca="true" t="shared" si="28" ref="E72:R72">E73</f>
        <v>0</v>
      </c>
      <c r="F72" s="99">
        <f t="shared" si="28"/>
        <v>0</v>
      </c>
      <c r="G72" s="99">
        <f t="shared" si="28"/>
        <v>0</v>
      </c>
      <c r="H72" s="99">
        <f t="shared" si="28"/>
        <v>0</v>
      </c>
      <c r="I72" s="99">
        <f t="shared" si="28"/>
        <v>0</v>
      </c>
      <c r="J72" s="99">
        <f t="shared" si="28"/>
        <v>0</v>
      </c>
      <c r="K72" s="99">
        <f t="shared" si="28"/>
        <v>0</v>
      </c>
      <c r="L72" s="99">
        <f t="shared" si="28"/>
        <v>550000</v>
      </c>
      <c r="M72" s="99">
        <f t="shared" si="28"/>
        <v>900000</v>
      </c>
      <c r="N72" s="99">
        <f t="shared" si="28"/>
        <v>0</v>
      </c>
      <c r="O72" s="213">
        <f t="shared" si="28"/>
        <v>0</v>
      </c>
      <c r="P72" s="136">
        <f t="shared" si="28"/>
        <v>0</v>
      </c>
      <c r="Q72" s="136">
        <f t="shared" si="28"/>
        <v>0</v>
      </c>
      <c r="R72" s="166">
        <f t="shared" si="28"/>
        <v>0</v>
      </c>
      <c r="S72" s="95">
        <f t="shared" si="23"/>
        <v>0</v>
      </c>
      <c r="T72" s="95">
        <f t="shared" si="2"/>
        <v>0</v>
      </c>
    </row>
    <row r="73" spans="1:20" s="38" customFormat="1" ht="13.5" customHeight="1">
      <c r="A73" s="263"/>
      <c r="B73" s="41"/>
      <c r="C73" s="125" t="s">
        <v>13</v>
      </c>
      <c r="D73" s="100">
        <f>SUM(E73:R73)</f>
        <v>1450000</v>
      </c>
      <c r="E73" s="102"/>
      <c r="F73" s="51"/>
      <c r="G73" s="51"/>
      <c r="H73" s="51"/>
      <c r="I73" s="51"/>
      <c r="J73" s="80"/>
      <c r="K73" s="80"/>
      <c r="L73" s="80">
        <f>'[10]농공단지'!$A$38</f>
        <v>550000</v>
      </c>
      <c r="M73" s="80">
        <f>'[11]수질개선'!$A$25</f>
        <v>900000</v>
      </c>
      <c r="N73" s="80"/>
      <c r="O73" s="216"/>
      <c r="P73" s="81"/>
      <c r="Q73" s="81"/>
      <c r="R73" s="161"/>
      <c r="S73" s="95">
        <f t="shared" si="23"/>
        <v>0</v>
      </c>
      <c r="T73" s="95">
        <f t="shared" si="2"/>
        <v>0</v>
      </c>
    </row>
    <row r="74" spans="1:20" s="82" customFormat="1" ht="13.5" customHeight="1">
      <c r="A74" s="263"/>
      <c r="B74" s="41" t="s">
        <v>105</v>
      </c>
      <c r="C74" s="66"/>
      <c r="D74" s="99">
        <f aca="true" t="shared" si="29" ref="D74:R74">D75</f>
        <v>11707760</v>
      </c>
      <c r="E74" s="99">
        <f t="shared" si="29"/>
        <v>167000</v>
      </c>
      <c r="F74" s="99">
        <f t="shared" si="29"/>
        <v>0</v>
      </c>
      <c r="G74" s="99">
        <f t="shared" si="29"/>
        <v>0</v>
      </c>
      <c r="H74" s="99">
        <f t="shared" si="29"/>
        <v>331560</v>
      </c>
      <c r="I74" s="99">
        <f t="shared" si="29"/>
        <v>259780</v>
      </c>
      <c r="J74" s="52">
        <f t="shared" si="29"/>
        <v>3184020</v>
      </c>
      <c r="K74" s="52">
        <f t="shared" si="29"/>
        <v>0</v>
      </c>
      <c r="L74" s="52">
        <f t="shared" si="29"/>
        <v>0</v>
      </c>
      <c r="M74" s="52">
        <f t="shared" si="29"/>
        <v>72000</v>
      </c>
      <c r="N74" s="52">
        <f t="shared" si="29"/>
        <v>7693400</v>
      </c>
      <c r="O74" s="214">
        <f t="shared" si="29"/>
        <v>0</v>
      </c>
      <c r="P74" s="53">
        <f t="shared" si="29"/>
        <v>0</v>
      </c>
      <c r="Q74" s="160">
        <f t="shared" si="29"/>
        <v>0</v>
      </c>
      <c r="R74" s="163">
        <f t="shared" si="29"/>
        <v>0</v>
      </c>
      <c r="S74" s="95">
        <f t="shared" si="23"/>
        <v>0</v>
      </c>
      <c r="T74" s="95">
        <f t="shared" si="2"/>
        <v>0</v>
      </c>
    </row>
    <row r="75" spans="1:20" s="38" customFormat="1" ht="15" customHeight="1">
      <c r="A75" s="263"/>
      <c r="B75" s="41"/>
      <c r="C75" s="125" t="s">
        <v>14</v>
      </c>
      <c r="D75" s="100">
        <f>SUM(E75:R75)</f>
        <v>11707760</v>
      </c>
      <c r="E75" s="102">
        <f>'[3]주택사업'!$A$25</f>
        <v>167000</v>
      </c>
      <c r="F75" s="80"/>
      <c r="G75" s="51"/>
      <c r="H75" s="51">
        <f>'[6]기초생활보장수급권자생활안전보장'!$A$21</f>
        <v>331560</v>
      </c>
      <c r="I75" s="51">
        <f>'[7]새마을소득'!$A$16</f>
        <v>259780</v>
      </c>
      <c r="J75" s="80">
        <f>'[8]발전소주변지역'!$A$24+2118120</f>
        <v>3184020</v>
      </c>
      <c r="K75" s="80"/>
      <c r="L75" s="80"/>
      <c r="M75" s="80">
        <f>'[11]수질개선'!$A$27</f>
        <v>72000</v>
      </c>
      <c r="N75" s="80">
        <f>'[12]장기미집행'!$A$9</f>
        <v>7693400</v>
      </c>
      <c r="O75" s="216"/>
      <c r="P75" s="81"/>
      <c r="Q75" s="81"/>
      <c r="R75" s="161"/>
      <c r="S75" s="95">
        <f t="shared" si="23"/>
        <v>0</v>
      </c>
      <c r="T75" s="95">
        <f aca="true" t="shared" si="30" ref="T75:T146">D75-SUM(E75:R75)</f>
        <v>0</v>
      </c>
    </row>
    <row r="76" spans="1:20" s="82" customFormat="1" ht="12.75" customHeight="1">
      <c r="A76" s="263"/>
      <c r="B76" s="41" t="s">
        <v>191</v>
      </c>
      <c r="C76" s="66"/>
      <c r="D76" s="99">
        <f>SUM(D77:D82)</f>
        <v>29573030</v>
      </c>
      <c r="E76" s="99">
        <f aca="true" t="shared" si="31" ref="E76:R76">SUM(E77:E82)</f>
        <v>0</v>
      </c>
      <c r="F76" s="99">
        <f t="shared" si="31"/>
        <v>0</v>
      </c>
      <c r="G76" s="99">
        <f t="shared" si="31"/>
        <v>0</v>
      </c>
      <c r="H76" s="99">
        <f t="shared" si="31"/>
        <v>0</v>
      </c>
      <c r="I76" s="99">
        <f t="shared" si="31"/>
        <v>0</v>
      </c>
      <c r="J76" s="99">
        <f t="shared" si="31"/>
        <v>15869030</v>
      </c>
      <c r="K76" s="99">
        <f t="shared" si="31"/>
        <v>0</v>
      </c>
      <c r="L76" s="99">
        <f t="shared" si="31"/>
        <v>0</v>
      </c>
      <c r="M76" s="99">
        <f t="shared" si="31"/>
        <v>13704000</v>
      </c>
      <c r="N76" s="99">
        <f t="shared" si="31"/>
        <v>0</v>
      </c>
      <c r="O76" s="213">
        <f t="shared" si="31"/>
        <v>0</v>
      </c>
      <c r="P76" s="136">
        <f t="shared" si="31"/>
        <v>0</v>
      </c>
      <c r="Q76" s="159">
        <f t="shared" si="31"/>
        <v>0</v>
      </c>
      <c r="R76" s="166">
        <f t="shared" si="31"/>
        <v>0</v>
      </c>
      <c r="S76" s="95">
        <f t="shared" si="23"/>
        <v>0</v>
      </c>
      <c r="T76" s="95">
        <f t="shared" si="30"/>
        <v>0</v>
      </c>
    </row>
    <row r="77" spans="1:20" s="38" customFormat="1" ht="14.25" customHeight="1">
      <c r="A77" s="263"/>
      <c r="B77" s="41"/>
      <c r="C77" s="125" t="s">
        <v>15</v>
      </c>
      <c r="D77" s="100">
        <f aca="true" t="shared" si="32" ref="D77:D82">SUM(E77:R77)</f>
        <v>0</v>
      </c>
      <c r="E77" s="102"/>
      <c r="F77" s="51"/>
      <c r="G77" s="51"/>
      <c r="H77" s="51"/>
      <c r="I77" s="51"/>
      <c r="J77" s="51"/>
      <c r="K77" s="51"/>
      <c r="L77" s="51"/>
      <c r="M77" s="51"/>
      <c r="N77" s="51"/>
      <c r="O77" s="107"/>
      <c r="P77" s="50"/>
      <c r="Q77" s="50"/>
      <c r="R77" s="161"/>
      <c r="S77" s="95">
        <f t="shared" si="23"/>
        <v>0</v>
      </c>
      <c r="T77" s="95">
        <f t="shared" si="30"/>
        <v>0</v>
      </c>
    </row>
    <row r="78" spans="1:20" s="38" customFormat="1" ht="14.25" customHeight="1">
      <c r="A78" s="263"/>
      <c r="B78" s="41"/>
      <c r="C78" s="125" t="s">
        <v>190</v>
      </c>
      <c r="D78" s="100">
        <f t="shared" si="32"/>
        <v>15869030</v>
      </c>
      <c r="E78" s="102"/>
      <c r="F78" s="51"/>
      <c r="G78" s="51"/>
      <c r="H78" s="51"/>
      <c r="I78" s="51"/>
      <c r="J78" s="51">
        <v>15869030</v>
      </c>
      <c r="K78" s="51"/>
      <c r="L78" s="51"/>
      <c r="M78" s="51"/>
      <c r="N78" s="51"/>
      <c r="O78" s="107"/>
      <c r="P78" s="50"/>
      <c r="Q78" s="50"/>
      <c r="R78" s="161"/>
      <c r="S78" s="95">
        <f t="shared" si="23"/>
        <v>0</v>
      </c>
      <c r="T78" s="95">
        <f t="shared" si="30"/>
        <v>0</v>
      </c>
    </row>
    <row r="79" spans="1:20" s="38" customFormat="1" ht="14.25" customHeight="1">
      <c r="A79" s="263"/>
      <c r="B79" s="41"/>
      <c r="C79" s="125" t="s">
        <v>192</v>
      </c>
      <c r="D79" s="100">
        <f t="shared" si="32"/>
        <v>13704000</v>
      </c>
      <c r="E79" s="102"/>
      <c r="F79" s="51"/>
      <c r="G79" s="51"/>
      <c r="H79" s="51"/>
      <c r="I79" s="51"/>
      <c r="J79" s="51"/>
      <c r="K79" s="51"/>
      <c r="L79" s="51"/>
      <c r="M79" s="51">
        <f>'[11]수질개선'!$A$29</f>
        <v>13704000</v>
      </c>
      <c r="N79" s="51"/>
      <c r="O79" s="107"/>
      <c r="P79" s="50"/>
      <c r="Q79" s="50"/>
      <c r="R79" s="161"/>
      <c r="S79" s="95">
        <f t="shared" si="23"/>
        <v>0</v>
      </c>
      <c r="T79" s="95">
        <f t="shared" si="30"/>
        <v>0</v>
      </c>
    </row>
    <row r="80" spans="1:20" s="38" customFormat="1" ht="14.25" customHeight="1" hidden="1">
      <c r="A80" s="263"/>
      <c r="B80" s="41"/>
      <c r="C80" s="125" t="s">
        <v>202</v>
      </c>
      <c r="D80" s="100">
        <f t="shared" si="32"/>
        <v>0</v>
      </c>
      <c r="E80" s="102"/>
      <c r="F80" s="51"/>
      <c r="G80" s="51"/>
      <c r="H80" s="51"/>
      <c r="I80" s="51"/>
      <c r="J80" s="51"/>
      <c r="K80" s="51"/>
      <c r="L80" s="51"/>
      <c r="M80" s="51"/>
      <c r="N80" s="51"/>
      <c r="O80" s="107"/>
      <c r="P80" s="50"/>
      <c r="Q80" s="50"/>
      <c r="R80" s="161"/>
      <c r="S80" s="95">
        <f t="shared" si="23"/>
        <v>0</v>
      </c>
      <c r="T80" s="95">
        <f t="shared" si="30"/>
        <v>0</v>
      </c>
    </row>
    <row r="81" spans="1:20" s="38" customFormat="1" ht="14.25" customHeight="1" hidden="1">
      <c r="A81" s="263"/>
      <c r="B81" s="41"/>
      <c r="C81" s="125" t="s">
        <v>179</v>
      </c>
      <c r="D81" s="100">
        <f t="shared" si="32"/>
        <v>0</v>
      </c>
      <c r="E81" s="102"/>
      <c r="F81" s="51"/>
      <c r="G81" s="51"/>
      <c r="H81" s="51"/>
      <c r="I81" s="51"/>
      <c r="J81" s="51"/>
      <c r="K81" s="51"/>
      <c r="L81" s="51"/>
      <c r="M81" s="51"/>
      <c r="N81" s="51"/>
      <c r="O81" s="107"/>
      <c r="P81" s="50"/>
      <c r="Q81" s="50"/>
      <c r="R81" s="161"/>
      <c r="S81" s="95">
        <f t="shared" si="23"/>
        <v>0</v>
      </c>
      <c r="T81" s="95">
        <f t="shared" si="30"/>
        <v>0</v>
      </c>
    </row>
    <row r="82" spans="1:20" s="38" customFormat="1" ht="14.25" customHeight="1" hidden="1">
      <c r="A82" s="263"/>
      <c r="B82" s="41"/>
      <c r="C82" s="125" t="s">
        <v>193</v>
      </c>
      <c r="D82" s="100">
        <f t="shared" si="32"/>
        <v>0</v>
      </c>
      <c r="E82" s="102"/>
      <c r="F82" s="51"/>
      <c r="G82" s="51"/>
      <c r="H82" s="51"/>
      <c r="I82" s="51"/>
      <c r="J82" s="51"/>
      <c r="K82" s="51"/>
      <c r="L82" s="51"/>
      <c r="M82" s="51"/>
      <c r="N82" s="51"/>
      <c r="O82" s="107"/>
      <c r="P82" s="50"/>
      <c r="Q82" s="50"/>
      <c r="R82" s="161"/>
      <c r="S82" s="95">
        <f t="shared" si="23"/>
        <v>0</v>
      </c>
      <c r="T82" s="95">
        <f t="shared" si="30"/>
        <v>0</v>
      </c>
    </row>
    <row r="83" spans="1:20" s="82" customFormat="1" ht="13.5" customHeight="1">
      <c r="A83" s="263"/>
      <c r="B83" s="41" t="s">
        <v>194</v>
      </c>
      <c r="C83" s="66"/>
      <c r="D83" s="99">
        <f>SUM(D84:D87)</f>
        <v>38892000</v>
      </c>
      <c r="E83" s="99">
        <f aca="true" t="shared" si="33" ref="E83:R83">SUM(E84:E87)</f>
        <v>0</v>
      </c>
      <c r="F83" s="99">
        <f t="shared" si="33"/>
        <v>0</v>
      </c>
      <c r="G83" s="99">
        <f t="shared" si="33"/>
        <v>0</v>
      </c>
      <c r="H83" s="99">
        <f t="shared" si="33"/>
        <v>0</v>
      </c>
      <c r="I83" s="99">
        <f t="shared" si="33"/>
        <v>0</v>
      </c>
      <c r="J83" s="99">
        <f t="shared" si="33"/>
        <v>18880000</v>
      </c>
      <c r="K83" s="99">
        <f t="shared" si="33"/>
        <v>0</v>
      </c>
      <c r="L83" s="99">
        <f t="shared" si="33"/>
        <v>0</v>
      </c>
      <c r="M83" s="99">
        <f t="shared" si="33"/>
        <v>20012000</v>
      </c>
      <c r="N83" s="99">
        <f t="shared" si="33"/>
        <v>0</v>
      </c>
      <c r="O83" s="213">
        <f t="shared" si="33"/>
        <v>0</v>
      </c>
      <c r="P83" s="136">
        <f t="shared" si="33"/>
        <v>0</v>
      </c>
      <c r="Q83" s="136">
        <f t="shared" si="33"/>
        <v>0</v>
      </c>
      <c r="R83" s="166">
        <f t="shared" si="33"/>
        <v>0</v>
      </c>
      <c r="S83" s="95">
        <f t="shared" si="23"/>
        <v>0</v>
      </c>
      <c r="T83" s="95">
        <f t="shared" si="30"/>
        <v>0</v>
      </c>
    </row>
    <row r="84" spans="1:21" s="38" customFormat="1" ht="13.5" customHeight="1">
      <c r="A84" s="263"/>
      <c r="B84" s="41"/>
      <c r="C84" s="125" t="s">
        <v>276</v>
      </c>
      <c r="D84" s="100">
        <f>SUM(E84:R84)</f>
        <v>0</v>
      </c>
      <c r="E84" s="102"/>
      <c r="F84" s="51"/>
      <c r="G84" s="51"/>
      <c r="H84" s="51"/>
      <c r="I84" s="51"/>
      <c r="J84" s="80"/>
      <c r="K84" s="80"/>
      <c r="L84" s="80"/>
      <c r="M84" s="80"/>
      <c r="N84" s="80"/>
      <c r="O84" s="216"/>
      <c r="P84" s="81"/>
      <c r="Q84" s="81"/>
      <c r="R84" s="161"/>
      <c r="S84" s="95">
        <f t="shared" si="23"/>
        <v>0</v>
      </c>
      <c r="T84" s="95">
        <f t="shared" si="30"/>
        <v>0</v>
      </c>
      <c r="U84" s="38" t="s">
        <v>227</v>
      </c>
    </row>
    <row r="85" spans="1:20" s="38" customFormat="1" ht="13.5" customHeight="1">
      <c r="A85" s="263"/>
      <c r="B85" s="41"/>
      <c r="C85" s="125" t="s">
        <v>364</v>
      </c>
      <c r="D85" s="100">
        <f>SUM(E85:R85)</f>
        <v>30291000</v>
      </c>
      <c r="E85" s="102"/>
      <c r="F85" s="51"/>
      <c r="G85" s="51"/>
      <c r="H85" s="51"/>
      <c r="I85" s="51"/>
      <c r="J85" s="80">
        <v>18880000</v>
      </c>
      <c r="K85" s="80"/>
      <c r="L85" s="80"/>
      <c r="M85" s="80">
        <v>11411000</v>
      </c>
      <c r="N85" s="80"/>
      <c r="O85" s="216"/>
      <c r="P85" s="81"/>
      <c r="Q85" s="81"/>
      <c r="R85" s="161"/>
      <c r="S85" s="95">
        <f t="shared" si="23"/>
        <v>0</v>
      </c>
      <c r="T85" s="95">
        <f t="shared" si="30"/>
        <v>0</v>
      </c>
    </row>
    <row r="86" spans="1:20" s="38" customFormat="1" ht="13.5" customHeight="1">
      <c r="A86" s="263"/>
      <c r="B86" s="41"/>
      <c r="C86" s="125" t="s">
        <v>317</v>
      </c>
      <c r="D86" s="100">
        <f>SUM(E86:R86)</f>
        <v>0</v>
      </c>
      <c r="E86" s="102"/>
      <c r="F86" s="51"/>
      <c r="G86" s="51"/>
      <c r="H86" s="51"/>
      <c r="I86" s="51"/>
      <c r="J86" s="80"/>
      <c r="K86" s="80"/>
      <c r="L86" s="80"/>
      <c r="M86" s="80"/>
      <c r="N86" s="80"/>
      <c r="O86" s="216"/>
      <c r="P86" s="81"/>
      <c r="Q86" s="81"/>
      <c r="R86" s="161"/>
      <c r="S86" s="95"/>
      <c r="T86" s="95"/>
    </row>
    <row r="87" spans="1:20" s="38" customFormat="1" ht="13.5" customHeight="1">
      <c r="A87" s="263"/>
      <c r="B87" s="41"/>
      <c r="C87" s="125" t="s">
        <v>201</v>
      </c>
      <c r="D87" s="100">
        <f>SUM(E87:R87)</f>
        <v>8601000</v>
      </c>
      <c r="E87" s="102"/>
      <c r="F87" s="51"/>
      <c r="G87" s="51"/>
      <c r="H87" s="51"/>
      <c r="I87" s="51"/>
      <c r="J87" s="51"/>
      <c r="K87" s="51"/>
      <c r="L87" s="51"/>
      <c r="M87" s="51">
        <v>8601000</v>
      </c>
      <c r="N87" s="51"/>
      <c r="O87" s="107"/>
      <c r="P87" s="50"/>
      <c r="Q87" s="50"/>
      <c r="R87" s="161"/>
      <c r="S87" s="95">
        <f t="shared" si="23"/>
        <v>0</v>
      </c>
      <c r="T87" s="95">
        <f t="shared" si="30"/>
        <v>0</v>
      </c>
    </row>
    <row r="88" spans="1:20" s="38" customFormat="1" ht="13.5" customHeight="1">
      <c r="A88" s="263"/>
      <c r="B88" s="41" t="s">
        <v>178</v>
      </c>
      <c r="C88" s="125"/>
      <c r="D88" s="99">
        <f>SUM(D89:D95)</f>
        <v>338803810</v>
      </c>
      <c r="E88" s="99">
        <f aca="true" t="shared" si="34" ref="E88:R88">SUM(E89:E95)</f>
        <v>0</v>
      </c>
      <c r="F88" s="99">
        <f t="shared" si="34"/>
        <v>0</v>
      </c>
      <c r="G88" s="99">
        <f t="shared" si="34"/>
        <v>0</v>
      </c>
      <c r="H88" s="99">
        <f t="shared" si="34"/>
        <v>0</v>
      </c>
      <c r="I88" s="99">
        <f t="shared" si="34"/>
        <v>0</v>
      </c>
      <c r="J88" s="99">
        <f t="shared" si="34"/>
        <v>217027580</v>
      </c>
      <c r="K88" s="99">
        <f t="shared" si="34"/>
        <v>0</v>
      </c>
      <c r="L88" s="99">
        <f t="shared" si="34"/>
        <v>13086170</v>
      </c>
      <c r="M88" s="99">
        <f t="shared" si="34"/>
        <v>108690060</v>
      </c>
      <c r="N88" s="99">
        <f t="shared" si="34"/>
        <v>0</v>
      </c>
      <c r="O88" s="213">
        <f t="shared" si="34"/>
        <v>0</v>
      </c>
      <c r="P88" s="136">
        <f t="shared" si="34"/>
        <v>0</v>
      </c>
      <c r="Q88" s="136">
        <f t="shared" si="34"/>
        <v>0</v>
      </c>
      <c r="R88" s="166">
        <f t="shared" si="34"/>
        <v>0</v>
      </c>
      <c r="S88" s="95">
        <f t="shared" si="23"/>
        <v>0</v>
      </c>
      <c r="T88" s="95">
        <f t="shared" si="30"/>
        <v>0</v>
      </c>
    </row>
    <row r="89" spans="1:20" s="38" customFormat="1" ht="13.5" customHeight="1">
      <c r="A89" s="264"/>
      <c r="B89" s="137"/>
      <c r="C89" s="125" t="s">
        <v>195</v>
      </c>
      <c r="D89" s="100">
        <f aca="true" t="shared" si="35" ref="D89:D95">SUM(E89:R89)</f>
        <v>13086170</v>
      </c>
      <c r="E89" s="102"/>
      <c r="F89" s="51"/>
      <c r="G89" s="51"/>
      <c r="H89" s="51"/>
      <c r="I89" s="51"/>
      <c r="J89" s="51"/>
      <c r="K89" s="51"/>
      <c r="L89" s="51">
        <f>'[10]농공단지'!$A$40</f>
        <v>13086170</v>
      </c>
      <c r="M89" s="51"/>
      <c r="N89" s="51"/>
      <c r="O89" s="107"/>
      <c r="P89" s="50"/>
      <c r="Q89" s="50"/>
      <c r="R89" s="161"/>
      <c r="S89" s="95">
        <f t="shared" si="23"/>
        <v>0</v>
      </c>
      <c r="T89" s="95">
        <f t="shared" si="30"/>
        <v>0</v>
      </c>
    </row>
    <row r="90" spans="1:20" s="38" customFormat="1" ht="14.25" customHeight="1" hidden="1">
      <c r="A90" s="263"/>
      <c r="B90" s="41"/>
      <c r="C90" s="125" t="s">
        <v>266</v>
      </c>
      <c r="D90" s="100">
        <f t="shared" si="35"/>
        <v>0</v>
      </c>
      <c r="E90" s="102"/>
      <c r="F90" s="51"/>
      <c r="G90" s="51"/>
      <c r="H90" s="51"/>
      <c r="I90" s="51"/>
      <c r="J90" s="51"/>
      <c r="K90" s="51"/>
      <c r="L90" s="51"/>
      <c r="M90" s="51"/>
      <c r="N90" s="51"/>
      <c r="O90" s="107"/>
      <c r="P90" s="50"/>
      <c r="Q90" s="50"/>
      <c r="R90" s="161"/>
      <c r="S90" s="95">
        <f t="shared" si="23"/>
        <v>0</v>
      </c>
      <c r="T90" s="95">
        <f t="shared" si="30"/>
        <v>0</v>
      </c>
    </row>
    <row r="91" spans="1:20" s="38" customFormat="1" ht="13.5" customHeight="1" hidden="1">
      <c r="A91" s="263"/>
      <c r="B91" s="41"/>
      <c r="C91" s="125" t="s">
        <v>310</v>
      </c>
      <c r="D91" s="100">
        <f t="shared" si="35"/>
        <v>0</v>
      </c>
      <c r="E91" s="102"/>
      <c r="F91" s="51"/>
      <c r="G91" s="51"/>
      <c r="H91" s="51"/>
      <c r="I91" s="51"/>
      <c r="J91" s="51"/>
      <c r="K91" s="51"/>
      <c r="L91" s="51"/>
      <c r="M91" s="51"/>
      <c r="N91" s="51"/>
      <c r="O91" s="107"/>
      <c r="P91" s="50"/>
      <c r="Q91" s="50"/>
      <c r="R91" s="161"/>
      <c r="S91" s="95">
        <f t="shared" si="23"/>
        <v>0</v>
      </c>
      <c r="T91" s="95">
        <f t="shared" si="30"/>
        <v>0</v>
      </c>
    </row>
    <row r="92" spans="1:20" s="38" customFormat="1" ht="13.5" customHeight="1">
      <c r="A92" s="263"/>
      <c r="B92" s="41"/>
      <c r="C92" s="125" t="s">
        <v>311</v>
      </c>
      <c r="D92" s="100">
        <f t="shared" si="35"/>
        <v>100507550</v>
      </c>
      <c r="E92" s="102"/>
      <c r="F92" s="51"/>
      <c r="G92" s="51"/>
      <c r="H92" s="51"/>
      <c r="I92" s="51"/>
      <c r="J92" s="51">
        <f>'[8]발전소주변지역'!$A$26+19985800+9465000</f>
        <v>80651550</v>
      </c>
      <c r="K92" s="51"/>
      <c r="L92" s="51"/>
      <c r="M92" s="51">
        <v>19856000</v>
      </c>
      <c r="N92" s="51"/>
      <c r="O92" s="107"/>
      <c r="P92" s="50"/>
      <c r="Q92" s="50"/>
      <c r="R92" s="161"/>
      <c r="S92" s="95"/>
      <c r="T92" s="95"/>
    </row>
    <row r="93" spans="1:20" s="38" customFormat="1" ht="13.5" customHeight="1">
      <c r="A93" s="263"/>
      <c r="B93" s="41"/>
      <c r="C93" s="125" t="s">
        <v>286</v>
      </c>
      <c r="D93" s="100">
        <f t="shared" si="35"/>
        <v>0</v>
      </c>
      <c r="E93" s="102"/>
      <c r="F93" s="51"/>
      <c r="G93" s="51"/>
      <c r="H93" s="51"/>
      <c r="I93" s="51"/>
      <c r="J93" s="51"/>
      <c r="K93" s="51"/>
      <c r="L93" s="51"/>
      <c r="M93" s="51"/>
      <c r="N93" s="51"/>
      <c r="O93" s="107"/>
      <c r="P93" s="50"/>
      <c r="Q93" s="50"/>
      <c r="R93" s="161"/>
      <c r="S93" s="95">
        <f t="shared" si="23"/>
        <v>0</v>
      </c>
      <c r="T93" s="95">
        <f t="shared" si="30"/>
        <v>0</v>
      </c>
    </row>
    <row r="94" spans="1:20" s="38" customFormat="1" ht="13.5" customHeight="1">
      <c r="A94" s="263"/>
      <c r="B94" s="41"/>
      <c r="C94" s="125" t="s">
        <v>261</v>
      </c>
      <c r="D94" s="100">
        <f t="shared" si="35"/>
        <v>13900000</v>
      </c>
      <c r="E94" s="102"/>
      <c r="F94" s="51"/>
      <c r="G94" s="51"/>
      <c r="H94" s="51"/>
      <c r="I94" s="51"/>
      <c r="J94" s="51"/>
      <c r="K94" s="51"/>
      <c r="L94" s="51"/>
      <c r="M94" s="51">
        <v>13900000</v>
      </c>
      <c r="N94" s="51"/>
      <c r="O94" s="107"/>
      <c r="P94" s="50"/>
      <c r="Q94" s="50"/>
      <c r="R94" s="161"/>
      <c r="S94" s="95"/>
      <c r="T94" s="95"/>
    </row>
    <row r="95" spans="1:20" s="38" customFormat="1" ht="13.5" customHeight="1">
      <c r="A95" s="263"/>
      <c r="B95" s="41"/>
      <c r="C95" s="125" t="s">
        <v>196</v>
      </c>
      <c r="D95" s="100">
        <f t="shared" si="35"/>
        <v>211310090</v>
      </c>
      <c r="E95" s="102"/>
      <c r="F95" s="51"/>
      <c r="G95" s="51"/>
      <c r="H95" s="51"/>
      <c r="I95" s="51"/>
      <c r="J95" s="51">
        <f>'[8]발전소주변지역'!$A$27+29475880+10500000+10494800</f>
        <v>136376030</v>
      </c>
      <c r="K95" s="51"/>
      <c r="L95" s="51"/>
      <c r="M95" s="51">
        <f>'[11]수질개선'!$A$31+12906000+2292980</f>
        <v>74934060</v>
      </c>
      <c r="N95" s="51"/>
      <c r="O95" s="107"/>
      <c r="P95" s="50"/>
      <c r="Q95" s="50"/>
      <c r="R95" s="161"/>
      <c r="S95" s="95">
        <f t="shared" si="23"/>
        <v>0</v>
      </c>
      <c r="T95" s="95">
        <f t="shared" si="30"/>
        <v>0</v>
      </c>
    </row>
    <row r="96" spans="1:20" s="82" customFormat="1" ht="13.5" customHeight="1">
      <c r="A96" s="263"/>
      <c r="B96" s="41" t="s">
        <v>213</v>
      </c>
      <c r="C96" s="66"/>
      <c r="D96" s="99">
        <f>D97+D98</f>
        <v>1254000</v>
      </c>
      <c r="E96" s="99">
        <f aca="true" t="shared" si="36" ref="E96:S96">E97+E98</f>
        <v>0</v>
      </c>
      <c r="F96" s="99">
        <f t="shared" si="36"/>
        <v>0</v>
      </c>
      <c r="G96" s="99">
        <f t="shared" si="36"/>
        <v>0</v>
      </c>
      <c r="H96" s="99">
        <f t="shared" si="36"/>
        <v>1254000</v>
      </c>
      <c r="I96" s="99">
        <f t="shared" si="36"/>
        <v>0</v>
      </c>
      <c r="J96" s="99">
        <f t="shared" si="36"/>
        <v>0</v>
      </c>
      <c r="K96" s="99">
        <f t="shared" si="36"/>
        <v>0</v>
      </c>
      <c r="L96" s="99">
        <f t="shared" si="36"/>
        <v>0</v>
      </c>
      <c r="M96" s="99">
        <f t="shared" si="36"/>
        <v>0</v>
      </c>
      <c r="N96" s="99">
        <f t="shared" si="36"/>
        <v>0</v>
      </c>
      <c r="O96" s="213">
        <f t="shared" si="36"/>
        <v>0</v>
      </c>
      <c r="P96" s="165">
        <f t="shared" si="36"/>
        <v>0</v>
      </c>
      <c r="Q96" s="99">
        <f t="shared" si="36"/>
        <v>0</v>
      </c>
      <c r="R96" s="99">
        <f t="shared" si="36"/>
        <v>0</v>
      </c>
      <c r="S96" s="99">
        <f t="shared" si="36"/>
        <v>0</v>
      </c>
      <c r="T96" s="95">
        <f t="shared" si="30"/>
        <v>0</v>
      </c>
    </row>
    <row r="97" spans="1:20" s="38" customFormat="1" ht="13.5" customHeight="1">
      <c r="A97" s="263"/>
      <c r="B97" s="41"/>
      <c r="C97" s="125" t="s">
        <v>212</v>
      </c>
      <c r="D97" s="100">
        <f>SUM(E97:R97)</f>
        <v>1254000</v>
      </c>
      <c r="E97" s="102"/>
      <c r="F97" s="51"/>
      <c r="G97" s="51"/>
      <c r="H97" s="51">
        <f>'[6]기초생활보장수급권자생활안전보장'!$A$23</f>
        <v>1254000</v>
      </c>
      <c r="I97" s="51"/>
      <c r="J97" s="51"/>
      <c r="K97" s="51"/>
      <c r="L97" s="51"/>
      <c r="M97" s="51"/>
      <c r="N97" s="51"/>
      <c r="O97" s="107"/>
      <c r="P97" s="50"/>
      <c r="Q97" s="50"/>
      <c r="R97" s="161"/>
      <c r="S97" s="95">
        <f t="shared" si="23"/>
        <v>0</v>
      </c>
      <c r="T97" s="95">
        <f t="shared" si="30"/>
        <v>0</v>
      </c>
    </row>
    <row r="98" spans="1:20" s="38" customFormat="1" ht="13.5" customHeight="1" hidden="1">
      <c r="A98" s="263"/>
      <c r="B98" s="41"/>
      <c r="C98" s="125" t="s">
        <v>287</v>
      </c>
      <c r="D98" s="100">
        <f>SUM(E98:R98)</f>
        <v>0</v>
      </c>
      <c r="E98" s="102"/>
      <c r="F98" s="51"/>
      <c r="G98" s="51"/>
      <c r="H98" s="51"/>
      <c r="I98" s="51"/>
      <c r="J98" s="51"/>
      <c r="K98" s="51"/>
      <c r="L98" s="51"/>
      <c r="M98" s="51"/>
      <c r="N98" s="51"/>
      <c r="O98" s="107"/>
      <c r="P98" s="50"/>
      <c r="Q98" s="50"/>
      <c r="R98" s="161"/>
      <c r="S98" s="95"/>
      <c r="T98" s="95"/>
    </row>
    <row r="99" spans="1:20" s="82" customFormat="1" ht="13.5" customHeight="1">
      <c r="A99" s="263"/>
      <c r="B99" s="41" t="s">
        <v>106</v>
      </c>
      <c r="C99" s="66"/>
      <c r="D99" s="99">
        <f>SUM(D100:D102)</f>
        <v>240000</v>
      </c>
      <c r="E99" s="99">
        <f aca="true" t="shared" si="37" ref="E99:R99">SUM(E100:E102)</f>
        <v>0</v>
      </c>
      <c r="F99" s="99">
        <f t="shared" si="37"/>
        <v>0</v>
      </c>
      <c r="G99" s="99">
        <f t="shared" si="37"/>
        <v>240000</v>
      </c>
      <c r="H99" s="99">
        <f t="shared" si="37"/>
        <v>0</v>
      </c>
      <c r="I99" s="99">
        <f t="shared" si="37"/>
        <v>0</v>
      </c>
      <c r="J99" s="99">
        <f t="shared" si="37"/>
        <v>0</v>
      </c>
      <c r="K99" s="99">
        <f t="shared" si="37"/>
        <v>0</v>
      </c>
      <c r="L99" s="99">
        <f t="shared" si="37"/>
        <v>0</v>
      </c>
      <c r="M99" s="99">
        <f t="shared" si="37"/>
        <v>0</v>
      </c>
      <c r="N99" s="99">
        <f t="shared" si="37"/>
        <v>0</v>
      </c>
      <c r="O99" s="213">
        <f t="shared" si="37"/>
        <v>0</v>
      </c>
      <c r="P99" s="165">
        <f t="shared" si="37"/>
        <v>0</v>
      </c>
      <c r="Q99" s="99">
        <f t="shared" si="37"/>
        <v>0</v>
      </c>
      <c r="R99" s="99">
        <f t="shared" si="37"/>
        <v>0</v>
      </c>
      <c r="S99" s="95">
        <f t="shared" si="23"/>
        <v>0</v>
      </c>
      <c r="T99" s="95">
        <f t="shared" si="30"/>
        <v>0</v>
      </c>
    </row>
    <row r="100" spans="1:20" s="38" customFormat="1" ht="13.5" customHeight="1">
      <c r="A100" s="264"/>
      <c r="B100" s="137"/>
      <c r="C100" s="125" t="s">
        <v>224</v>
      </c>
      <c r="D100" s="100">
        <f>SUM(E100:R100)</f>
        <v>240000</v>
      </c>
      <c r="E100" s="102"/>
      <c r="F100" s="51"/>
      <c r="G100" s="51">
        <f>'[5]의료급여'!$A$20</f>
        <v>240000</v>
      </c>
      <c r="H100" s="51"/>
      <c r="I100" s="51"/>
      <c r="J100" s="51"/>
      <c r="K100" s="51"/>
      <c r="L100" s="51"/>
      <c r="M100" s="51"/>
      <c r="N100" s="51"/>
      <c r="O100" s="107"/>
      <c r="P100" s="50"/>
      <c r="Q100" s="50"/>
      <c r="R100" s="161"/>
      <c r="S100" s="95"/>
      <c r="T100" s="95">
        <f t="shared" si="30"/>
        <v>0</v>
      </c>
    </row>
    <row r="101" spans="1:20" s="38" customFormat="1" ht="13.5" customHeight="1" hidden="1">
      <c r="A101" s="264"/>
      <c r="B101" s="41"/>
      <c r="C101" s="125" t="s">
        <v>221</v>
      </c>
      <c r="D101" s="100">
        <f>SUM(E101:R101)</f>
        <v>0</v>
      </c>
      <c r="E101" s="102"/>
      <c r="F101" s="51"/>
      <c r="G101" s="51"/>
      <c r="H101" s="51"/>
      <c r="I101" s="51"/>
      <c r="J101" s="51"/>
      <c r="K101" s="51"/>
      <c r="L101" s="51"/>
      <c r="M101" s="51"/>
      <c r="N101" s="51"/>
      <c r="O101" s="107"/>
      <c r="P101" s="50"/>
      <c r="Q101" s="50"/>
      <c r="R101" s="161"/>
      <c r="S101" s="95">
        <f aca="true" t="shared" si="38" ref="S101:S138">D101-SUM(E101:R101)</f>
        <v>0</v>
      </c>
      <c r="T101" s="95">
        <f t="shared" si="30"/>
        <v>0</v>
      </c>
    </row>
    <row r="102" spans="1:20" s="38" customFormat="1" ht="13.5" customHeight="1" hidden="1">
      <c r="A102" s="264"/>
      <c r="B102" s="41"/>
      <c r="C102" s="125" t="s">
        <v>318</v>
      </c>
      <c r="D102" s="100">
        <f>SUM(E102:R102)</f>
        <v>0</v>
      </c>
      <c r="E102" s="102"/>
      <c r="F102" s="51"/>
      <c r="G102" s="51"/>
      <c r="H102" s="51"/>
      <c r="I102" s="51"/>
      <c r="J102" s="51"/>
      <c r="K102" s="51"/>
      <c r="L102" s="51"/>
      <c r="M102" s="51"/>
      <c r="N102" s="51"/>
      <c r="O102" s="107"/>
      <c r="P102" s="50"/>
      <c r="Q102" s="50"/>
      <c r="R102" s="161"/>
      <c r="S102" s="95"/>
      <c r="T102" s="95"/>
    </row>
    <row r="103" spans="1:20" s="82" customFormat="1" ht="13.5" customHeight="1">
      <c r="A103" s="263"/>
      <c r="B103" s="41" t="s">
        <v>107</v>
      </c>
      <c r="C103" s="66"/>
      <c r="D103" s="99">
        <f>D104+D105</f>
        <v>968340</v>
      </c>
      <c r="E103" s="99">
        <f aca="true" t="shared" si="39" ref="E103:R103">E104+E105</f>
        <v>96220</v>
      </c>
      <c r="F103" s="99">
        <f t="shared" si="39"/>
        <v>0</v>
      </c>
      <c r="G103" s="99">
        <f t="shared" si="39"/>
        <v>0</v>
      </c>
      <c r="H103" s="99">
        <f t="shared" si="39"/>
        <v>0</v>
      </c>
      <c r="I103" s="99">
        <f t="shared" si="39"/>
        <v>0</v>
      </c>
      <c r="J103" s="99">
        <f t="shared" si="39"/>
        <v>0</v>
      </c>
      <c r="K103" s="99">
        <f aca="true" t="shared" si="40" ref="K103:Q103">K104+K105</f>
        <v>0</v>
      </c>
      <c r="L103" s="99">
        <f t="shared" si="40"/>
        <v>872120</v>
      </c>
      <c r="M103" s="99">
        <f t="shared" si="40"/>
        <v>0</v>
      </c>
      <c r="N103" s="99">
        <f t="shared" si="40"/>
        <v>0</v>
      </c>
      <c r="O103" s="213">
        <f t="shared" si="40"/>
        <v>0</v>
      </c>
      <c r="P103" s="136">
        <f t="shared" si="40"/>
        <v>0</v>
      </c>
      <c r="Q103" s="136">
        <f t="shared" si="40"/>
        <v>0</v>
      </c>
      <c r="R103" s="166">
        <f t="shared" si="39"/>
        <v>0</v>
      </c>
      <c r="S103" s="95">
        <f t="shared" si="38"/>
        <v>0</v>
      </c>
      <c r="T103" s="95">
        <f t="shared" si="30"/>
        <v>0</v>
      </c>
    </row>
    <row r="104" spans="1:20" s="38" customFormat="1" ht="13.5" customHeight="1">
      <c r="A104" s="264"/>
      <c r="B104" s="41"/>
      <c r="C104" s="125" t="s">
        <v>235</v>
      </c>
      <c r="D104" s="100">
        <f>SUM(E104:R104)</f>
        <v>968340</v>
      </c>
      <c r="E104" s="102">
        <f>'[3]주택사업'!$A$27</f>
        <v>96220</v>
      </c>
      <c r="F104" s="51"/>
      <c r="G104" s="51"/>
      <c r="H104" s="51"/>
      <c r="I104" s="51"/>
      <c r="J104" s="80"/>
      <c r="K104" s="80"/>
      <c r="L104" s="80">
        <f>'[10]농공단지'!$A$42</f>
        <v>872120</v>
      </c>
      <c r="M104" s="80"/>
      <c r="N104" s="80"/>
      <c r="O104" s="216"/>
      <c r="P104" s="81"/>
      <c r="Q104" s="81"/>
      <c r="R104" s="161"/>
      <c r="S104" s="95">
        <f t="shared" si="38"/>
        <v>0</v>
      </c>
      <c r="T104" s="95">
        <f t="shared" si="30"/>
        <v>0</v>
      </c>
    </row>
    <row r="105" spans="1:20" s="38" customFormat="1" ht="13.5" customHeight="1" hidden="1">
      <c r="A105" s="264"/>
      <c r="B105" s="41"/>
      <c r="C105" s="125" t="s">
        <v>236</v>
      </c>
      <c r="D105" s="100">
        <f>SUM(E105:R105)</f>
        <v>0</v>
      </c>
      <c r="E105" s="102"/>
      <c r="F105" s="51"/>
      <c r="G105" s="51"/>
      <c r="H105" s="51"/>
      <c r="I105" s="51"/>
      <c r="J105" s="80"/>
      <c r="K105" s="80"/>
      <c r="L105" s="80"/>
      <c r="M105" s="80"/>
      <c r="N105" s="80"/>
      <c r="O105" s="216"/>
      <c r="P105" s="81"/>
      <c r="Q105" s="81"/>
      <c r="R105" s="161"/>
      <c r="S105" s="95"/>
      <c r="T105" s="95"/>
    </row>
    <row r="106" spans="1:20" s="82" customFormat="1" ht="13.5" customHeight="1" hidden="1">
      <c r="A106" s="263"/>
      <c r="B106" s="41" t="s">
        <v>108</v>
      </c>
      <c r="C106" s="66"/>
      <c r="D106" s="99">
        <f aca="true" t="shared" si="41" ref="D106:R106">D107</f>
        <v>0</v>
      </c>
      <c r="E106" s="99">
        <f t="shared" si="41"/>
        <v>0</v>
      </c>
      <c r="F106" s="52">
        <f t="shared" si="41"/>
        <v>0</v>
      </c>
      <c r="G106" s="52">
        <f t="shared" si="41"/>
        <v>0</v>
      </c>
      <c r="H106" s="52">
        <f t="shared" si="41"/>
        <v>0</v>
      </c>
      <c r="I106" s="52">
        <f t="shared" si="41"/>
        <v>0</v>
      </c>
      <c r="J106" s="52">
        <f t="shared" si="41"/>
        <v>0</v>
      </c>
      <c r="K106" s="52">
        <f t="shared" si="41"/>
        <v>0</v>
      </c>
      <c r="L106" s="52">
        <f t="shared" si="41"/>
        <v>0</v>
      </c>
      <c r="M106" s="52">
        <f t="shared" si="41"/>
        <v>0</v>
      </c>
      <c r="N106" s="52">
        <f t="shared" si="41"/>
        <v>0</v>
      </c>
      <c r="O106" s="214">
        <f t="shared" si="41"/>
        <v>0</v>
      </c>
      <c r="P106" s="53">
        <f t="shared" si="41"/>
        <v>0</v>
      </c>
      <c r="Q106" s="160">
        <f t="shared" si="41"/>
        <v>0</v>
      </c>
      <c r="R106" s="163">
        <f t="shared" si="41"/>
        <v>0</v>
      </c>
      <c r="S106" s="95">
        <f t="shared" si="38"/>
        <v>0</v>
      </c>
      <c r="T106" s="95">
        <f t="shared" si="30"/>
        <v>0</v>
      </c>
    </row>
    <row r="107" spans="1:20" s="38" customFormat="1" ht="13.5" customHeight="1" hidden="1">
      <c r="A107" s="264"/>
      <c r="B107" s="41"/>
      <c r="C107" s="125" t="s">
        <v>16</v>
      </c>
      <c r="D107" s="100">
        <f>SUM(E107:R107)</f>
        <v>0</v>
      </c>
      <c r="E107" s="102"/>
      <c r="F107" s="51"/>
      <c r="G107" s="51"/>
      <c r="H107" s="51"/>
      <c r="I107" s="51"/>
      <c r="J107" s="51"/>
      <c r="K107" s="80"/>
      <c r="L107" s="80"/>
      <c r="M107" s="80"/>
      <c r="N107" s="80"/>
      <c r="O107" s="216"/>
      <c r="P107" s="81"/>
      <c r="Q107" s="81"/>
      <c r="R107" s="161"/>
      <c r="S107" s="95">
        <f t="shared" si="38"/>
        <v>0</v>
      </c>
      <c r="T107" s="95">
        <f t="shared" si="30"/>
        <v>0</v>
      </c>
    </row>
    <row r="108" spans="1:20" s="82" customFormat="1" ht="13.5" customHeight="1" hidden="1">
      <c r="A108" s="263"/>
      <c r="B108" s="41" t="s">
        <v>109</v>
      </c>
      <c r="C108" s="66"/>
      <c r="D108" s="99">
        <f aca="true" t="shared" si="42" ref="D108:I108">D109</f>
        <v>0</v>
      </c>
      <c r="E108" s="99">
        <f t="shared" si="42"/>
        <v>0</v>
      </c>
      <c r="F108" s="99">
        <f t="shared" si="42"/>
        <v>0</v>
      </c>
      <c r="G108" s="99">
        <f t="shared" si="42"/>
        <v>0</v>
      </c>
      <c r="H108" s="99">
        <f t="shared" si="42"/>
        <v>0</v>
      </c>
      <c r="I108" s="99">
        <f t="shared" si="42"/>
        <v>0</v>
      </c>
      <c r="J108" s="99">
        <f aca="true" t="shared" si="43" ref="J108:R108">J109</f>
        <v>0</v>
      </c>
      <c r="K108" s="99">
        <f t="shared" si="43"/>
        <v>0</v>
      </c>
      <c r="L108" s="99">
        <f t="shared" si="43"/>
        <v>0</v>
      </c>
      <c r="M108" s="99">
        <f t="shared" si="43"/>
        <v>0</v>
      </c>
      <c r="N108" s="99">
        <f t="shared" si="43"/>
        <v>0</v>
      </c>
      <c r="O108" s="213">
        <f t="shared" si="43"/>
        <v>0</v>
      </c>
      <c r="P108" s="136">
        <f t="shared" si="43"/>
        <v>0</v>
      </c>
      <c r="Q108" s="136">
        <f t="shared" si="43"/>
        <v>0</v>
      </c>
      <c r="R108" s="166">
        <f t="shared" si="43"/>
        <v>0</v>
      </c>
      <c r="S108" s="95">
        <f t="shared" si="38"/>
        <v>0</v>
      </c>
      <c r="T108" s="95">
        <f t="shared" si="30"/>
        <v>0</v>
      </c>
    </row>
    <row r="109" spans="1:20" s="38" customFormat="1" ht="13.5" customHeight="1" hidden="1">
      <c r="A109" s="264"/>
      <c r="B109" s="41"/>
      <c r="C109" s="125" t="s">
        <v>90</v>
      </c>
      <c r="D109" s="100">
        <f>SUM(E109:R109)</f>
        <v>0</v>
      </c>
      <c r="E109" s="102"/>
      <c r="F109" s="51"/>
      <c r="G109" s="51"/>
      <c r="H109" s="51"/>
      <c r="I109" s="51"/>
      <c r="J109" s="80"/>
      <c r="K109" s="80"/>
      <c r="L109" s="80"/>
      <c r="M109" s="80"/>
      <c r="N109" s="80"/>
      <c r="O109" s="216"/>
      <c r="P109" s="81"/>
      <c r="Q109" s="81"/>
      <c r="R109" s="161"/>
      <c r="S109" s="95">
        <f t="shared" si="38"/>
        <v>0</v>
      </c>
      <c r="T109" s="95">
        <f t="shared" si="30"/>
        <v>0</v>
      </c>
    </row>
    <row r="110" spans="1:20" s="82" customFormat="1" ht="13.5" customHeight="1">
      <c r="A110" s="263"/>
      <c r="B110" s="41" t="s">
        <v>110</v>
      </c>
      <c r="C110" s="66"/>
      <c r="D110" s="99">
        <f>SUM(D111:D112)</f>
        <v>30025200</v>
      </c>
      <c r="E110" s="99">
        <f>E111+E112</f>
        <v>3046800</v>
      </c>
      <c r="F110" s="99">
        <f aca="true" t="shared" si="44" ref="F110:R110">F111+F112</f>
        <v>0</v>
      </c>
      <c r="G110" s="99">
        <f t="shared" si="44"/>
        <v>11000000</v>
      </c>
      <c r="H110" s="99">
        <f t="shared" si="44"/>
        <v>974400</v>
      </c>
      <c r="I110" s="99">
        <f t="shared" si="44"/>
        <v>0</v>
      </c>
      <c r="J110" s="99">
        <f t="shared" si="44"/>
        <v>0</v>
      </c>
      <c r="K110" s="99">
        <f t="shared" si="44"/>
        <v>1641400</v>
      </c>
      <c r="L110" s="99">
        <f t="shared" si="44"/>
        <v>7598600</v>
      </c>
      <c r="M110" s="99">
        <f t="shared" si="44"/>
        <v>5764000</v>
      </c>
      <c r="N110" s="99">
        <f t="shared" si="44"/>
        <v>0</v>
      </c>
      <c r="O110" s="213">
        <f t="shared" si="44"/>
        <v>0</v>
      </c>
      <c r="P110" s="136">
        <f t="shared" si="44"/>
        <v>0</v>
      </c>
      <c r="Q110" s="136">
        <f t="shared" si="44"/>
        <v>0</v>
      </c>
      <c r="R110" s="166">
        <f t="shared" si="44"/>
        <v>0</v>
      </c>
      <c r="S110" s="95">
        <f t="shared" si="38"/>
        <v>0</v>
      </c>
      <c r="T110" s="95">
        <f t="shared" si="30"/>
        <v>0</v>
      </c>
    </row>
    <row r="111" spans="1:20" s="38" customFormat="1" ht="13.5" customHeight="1">
      <c r="A111" s="264"/>
      <c r="B111" s="41"/>
      <c r="C111" s="125" t="s">
        <v>17</v>
      </c>
      <c r="D111" s="100">
        <f>SUM(E111:R111)</f>
        <v>30025200</v>
      </c>
      <c r="E111" s="102">
        <f>'[3]주택사업'!$A$29</f>
        <v>3046800</v>
      </c>
      <c r="F111" s="80"/>
      <c r="G111" s="51">
        <f>'[5]의료급여'!$A$22</f>
        <v>11000000</v>
      </c>
      <c r="H111" s="51">
        <f>'[6]기초생활보장수급권자생활안전보장'!$A$25</f>
        <v>974400</v>
      </c>
      <c r="I111" s="51"/>
      <c r="J111" s="80"/>
      <c r="K111" s="80">
        <f>'[9]중소기업육성'!$A$15</f>
        <v>1641400</v>
      </c>
      <c r="L111" s="80">
        <f>'[10]농공단지'!$A$44</f>
        <v>7598600</v>
      </c>
      <c r="M111" s="80">
        <f>'[11]수질개선'!$A$33+524000+1240000</f>
        <v>5764000</v>
      </c>
      <c r="N111" s="80"/>
      <c r="O111" s="216"/>
      <c r="P111" s="81"/>
      <c r="Q111" s="81"/>
      <c r="R111" s="161"/>
      <c r="S111" s="95">
        <f t="shared" si="38"/>
        <v>0</v>
      </c>
      <c r="T111" s="95">
        <f t="shared" si="30"/>
        <v>0</v>
      </c>
    </row>
    <row r="112" spans="1:20" s="38" customFormat="1" ht="13.5" customHeight="1" hidden="1">
      <c r="A112" s="264"/>
      <c r="B112" s="137"/>
      <c r="C112" s="125" t="s">
        <v>319</v>
      </c>
      <c r="D112" s="100">
        <f>SUM(E112:R112)</f>
        <v>0</v>
      </c>
      <c r="E112" s="102"/>
      <c r="F112" s="51"/>
      <c r="G112" s="51"/>
      <c r="H112" s="51"/>
      <c r="I112" s="51"/>
      <c r="J112" s="51"/>
      <c r="K112" s="51"/>
      <c r="L112" s="51"/>
      <c r="M112" s="51"/>
      <c r="N112" s="51"/>
      <c r="O112" s="107"/>
      <c r="P112" s="50"/>
      <c r="Q112" s="50"/>
      <c r="R112" s="161"/>
      <c r="S112" s="95">
        <f t="shared" si="38"/>
        <v>0</v>
      </c>
      <c r="T112" s="95">
        <f t="shared" si="30"/>
        <v>0</v>
      </c>
    </row>
    <row r="113" spans="1:20" s="82" customFormat="1" ht="13.5" customHeight="1" hidden="1">
      <c r="A113" s="263"/>
      <c r="B113" s="41" t="s">
        <v>180</v>
      </c>
      <c r="C113" s="66"/>
      <c r="D113" s="99">
        <f>D115+D114</f>
        <v>0</v>
      </c>
      <c r="E113" s="99">
        <f aca="true" t="shared" si="45" ref="E113:R113">E115+E114</f>
        <v>0</v>
      </c>
      <c r="F113" s="99">
        <f t="shared" si="45"/>
        <v>0</v>
      </c>
      <c r="G113" s="99">
        <f t="shared" si="45"/>
        <v>0</v>
      </c>
      <c r="H113" s="99">
        <f t="shared" si="45"/>
        <v>0</v>
      </c>
      <c r="I113" s="99">
        <f t="shared" si="45"/>
        <v>0</v>
      </c>
      <c r="J113" s="99">
        <f t="shared" si="45"/>
        <v>0</v>
      </c>
      <c r="K113" s="99">
        <f t="shared" si="45"/>
        <v>0</v>
      </c>
      <c r="L113" s="99">
        <f t="shared" si="45"/>
        <v>0</v>
      </c>
      <c r="M113" s="99">
        <f t="shared" si="45"/>
        <v>0</v>
      </c>
      <c r="N113" s="99">
        <f t="shared" si="45"/>
        <v>0</v>
      </c>
      <c r="O113" s="213">
        <f t="shared" si="45"/>
        <v>0</v>
      </c>
      <c r="P113" s="136">
        <f t="shared" si="45"/>
        <v>0</v>
      </c>
      <c r="Q113" s="136">
        <f t="shared" si="45"/>
        <v>0</v>
      </c>
      <c r="R113" s="166">
        <f t="shared" si="45"/>
        <v>0</v>
      </c>
      <c r="S113" s="95">
        <f t="shared" si="38"/>
        <v>0</v>
      </c>
      <c r="T113" s="95">
        <f t="shared" si="30"/>
        <v>0</v>
      </c>
    </row>
    <row r="114" spans="1:20" s="38" customFormat="1" ht="13.5" customHeight="1" hidden="1">
      <c r="A114" s="264"/>
      <c r="B114" s="137"/>
      <c r="C114" s="125" t="s">
        <v>239</v>
      </c>
      <c r="D114" s="100">
        <f>SUM(E114:R114)</f>
        <v>0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217"/>
      <c r="P114" s="143"/>
      <c r="Q114" s="143"/>
      <c r="R114" s="167"/>
      <c r="S114" s="95"/>
      <c r="T114" s="95"/>
    </row>
    <row r="115" spans="1:20" s="38" customFormat="1" ht="13.5" customHeight="1" hidden="1">
      <c r="A115" s="264"/>
      <c r="B115" s="41"/>
      <c r="C115" s="125" t="s">
        <v>95</v>
      </c>
      <c r="D115" s="100">
        <f>SUM(E115:R115)</f>
        <v>0</v>
      </c>
      <c r="E115" s="102"/>
      <c r="F115" s="51"/>
      <c r="G115" s="51"/>
      <c r="H115" s="51"/>
      <c r="I115" s="51"/>
      <c r="J115" s="51"/>
      <c r="K115" s="51"/>
      <c r="L115" s="51"/>
      <c r="M115" s="51"/>
      <c r="N115" s="51"/>
      <c r="O115" s="107"/>
      <c r="P115" s="50"/>
      <c r="Q115" s="50"/>
      <c r="R115" s="161"/>
      <c r="S115" s="95">
        <f t="shared" si="38"/>
        <v>0</v>
      </c>
      <c r="T115" s="95">
        <f t="shared" si="30"/>
        <v>0</v>
      </c>
    </row>
    <row r="116" spans="1:20" s="82" customFormat="1" ht="13.5" customHeight="1">
      <c r="A116" s="263"/>
      <c r="B116" s="41" t="s">
        <v>111</v>
      </c>
      <c r="C116" s="66"/>
      <c r="D116" s="99">
        <f>D117+D118</f>
        <v>296304188</v>
      </c>
      <c r="E116" s="99">
        <f aca="true" t="shared" si="46" ref="E116:R116">E117+E118</f>
        <v>683220</v>
      </c>
      <c r="F116" s="99">
        <f t="shared" si="46"/>
        <v>0</v>
      </c>
      <c r="G116" s="99">
        <f t="shared" si="46"/>
        <v>0</v>
      </c>
      <c r="H116" s="99">
        <f t="shared" si="46"/>
        <v>0</v>
      </c>
      <c r="I116" s="99">
        <f t="shared" si="46"/>
        <v>0</v>
      </c>
      <c r="J116" s="99">
        <f t="shared" si="46"/>
        <v>4749680</v>
      </c>
      <c r="K116" s="99">
        <f t="shared" si="46"/>
        <v>0</v>
      </c>
      <c r="L116" s="99">
        <f t="shared" si="46"/>
        <v>290871288</v>
      </c>
      <c r="M116" s="99">
        <f t="shared" si="46"/>
        <v>0</v>
      </c>
      <c r="N116" s="99">
        <f t="shared" si="46"/>
        <v>0</v>
      </c>
      <c r="O116" s="213">
        <f t="shared" si="46"/>
        <v>0</v>
      </c>
      <c r="P116" s="136">
        <f t="shared" si="46"/>
        <v>0</v>
      </c>
      <c r="Q116" s="136">
        <f t="shared" si="46"/>
        <v>0</v>
      </c>
      <c r="R116" s="166">
        <f t="shared" si="46"/>
        <v>0</v>
      </c>
      <c r="S116" s="95">
        <f t="shared" si="38"/>
        <v>0</v>
      </c>
      <c r="T116" s="95">
        <f t="shared" si="30"/>
        <v>0</v>
      </c>
    </row>
    <row r="117" spans="1:20" s="38" customFormat="1" ht="13.5" customHeight="1">
      <c r="A117" s="264"/>
      <c r="B117" s="41"/>
      <c r="C117" s="125" t="s">
        <v>1</v>
      </c>
      <c r="D117" s="100">
        <f>SUM(E117:R117)</f>
        <v>291554508</v>
      </c>
      <c r="E117" s="102">
        <f>'[3]주택사업'!$A$31-'[15]기타특별회계'!$H$44</f>
        <v>683220</v>
      </c>
      <c r="F117" s="51"/>
      <c r="G117" s="80"/>
      <c r="H117" s="80"/>
      <c r="I117" s="80"/>
      <c r="J117" s="51"/>
      <c r="K117" s="51"/>
      <c r="L117" s="51">
        <f>'[10]농공단지'!$A$46+'[15]기타특별회계'!$F$47</f>
        <v>290871288</v>
      </c>
      <c r="M117" s="51"/>
      <c r="N117" s="51"/>
      <c r="O117" s="107"/>
      <c r="P117" s="50"/>
      <c r="Q117" s="50"/>
      <c r="R117" s="161"/>
      <c r="S117" s="95">
        <f t="shared" si="38"/>
        <v>0</v>
      </c>
      <c r="T117" s="95">
        <f t="shared" si="30"/>
        <v>0</v>
      </c>
    </row>
    <row r="118" spans="1:20" s="38" customFormat="1" ht="13.5" customHeight="1">
      <c r="A118" s="264"/>
      <c r="B118" s="41"/>
      <c r="C118" s="125" t="s">
        <v>343</v>
      </c>
      <c r="D118" s="100">
        <f>SUM(E118:R118)</f>
        <v>4749680</v>
      </c>
      <c r="E118" s="102"/>
      <c r="F118" s="51"/>
      <c r="G118" s="80"/>
      <c r="H118" s="80"/>
      <c r="I118" s="80"/>
      <c r="J118" s="51">
        <f>'[8]발전소주변지역'!$A$29</f>
        <v>4749680</v>
      </c>
      <c r="K118" s="51"/>
      <c r="L118" s="51"/>
      <c r="M118" s="51"/>
      <c r="N118" s="51"/>
      <c r="O118" s="107"/>
      <c r="P118" s="50"/>
      <c r="Q118" s="50"/>
      <c r="R118" s="161"/>
      <c r="S118" s="95"/>
      <c r="T118" s="95">
        <f t="shared" si="30"/>
        <v>0</v>
      </c>
    </row>
    <row r="119" spans="1:20" s="82" customFormat="1" ht="12" hidden="1">
      <c r="A119" s="263"/>
      <c r="B119" s="41" t="s">
        <v>129</v>
      </c>
      <c r="C119" s="66"/>
      <c r="D119" s="99">
        <f>SUM(D120:D123)</f>
        <v>0</v>
      </c>
      <c r="E119" s="99">
        <f aca="true" t="shared" si="47" ref="E119:R119">SUM(E120:E123)</f>
        <v>0</v>
      </c>
      <c r="F119" s="99">
        <f t="shared" si="47"/>
        <v>0</v>
      </c>
      <c r="G119" s="99">
        <f t="shared" si="47"/>
        <v>0</v>
      </c>
      <c r="H119" s="99">
        <f t="shared" si="47"/>
        <v>0</v>
      </c>
      <c r="I119" s="99">
        <f t="shared" si="47"/>
        <v>0</v>
      </c>
      <c r="J119" s="99">
        <f t="shared" si="47"/>
        <v>0</v>
      </c>
      <c r="K119" s="99">
        <f t="shared" si="47"/>
        <v>0</v>
      </c>
      <c r="L119" s="99">
        <f t="shared" si="47"/>
        <v>0</v>
      </c>
      <c r="M119" s="99">
        <f t="shared" si="47"/>
        <v>0</v>
      </c>
      <c r="N119" s="99">
        <f t="shared" si="47"/>
        <v>0</v>
      </c>
      <c r="O119" s="213">
        <f t="shared" si="47"/>
        <v>0</v>
      </c>
      <c r="P119" s="136">
        <f t="shared" si="47"/>
        <v>0</v>
      </c>
      <c r="Q119" s="136">
        <f t="shared" si="47"/>
        <v>0</v>
      </c>
      <c r="R119" s="166">
        <f t="shared" si="47"/>
        <v>0</v>
      </c>
      <c r="S119" s="95">
        <f t="shared" si="38"/>
        <v>0</v>
      </c>
      <c r="T119" s="95">
        <f t="shared" si="30"/>
        <v>0</v>
      </c>
    </row>
    <row r="120" spans="1:20" s="38" customFormat="1" ht="12" hidden="1">
      <c r="A120" s="264"/>
      <c r="B120" s="137"/>
      <c r="C120" s="125" t="s">
        <v>91</v>
      </c>
      <c r="D120" s="100">
        <f>SUM(E120:R120)</f>
        <v>0</v>
      </c>
      <c r="E120" s="102"/>
      <c r="F120" s="51"/>
      <c r="G120" s="51"/>
      <c r="H120" s="51"/>
      <c r="I120" s="51"/>
      <c r="J120" s="80"/>
      <c r="K120" s="80"/>
      <c r="L120" s="80"/>
      <c r="M120" s="80"/>
      <c r="N120" s="80"/>
      <c r="O120" s="216"/>
      <c r="P120" s="81"/>
      <c r="Q120" s="81"/>
      <c r="R120" s="161"/>
      <c r="S120" s="95">
        <f t="shared" si="38"/>
        <v>0</v>
      </c>
      <c r="T120" s="95">
        <f t="shared" si="30"/>
        <v>0</v>
      </c>
    </row>
    <row r="121" spans="1:20" s="38" customFormat="1" ht="12" hidden="1">
      <c r="A121" s="264"/>
      <c r="B121" s="137"/>
      <c r="C121" s="125" t="s">
        <v>92</v>
      </c>
      <c r="D121" s="100">
        <f>SUM(E121:R121)</f>
        <v>0</v>
      </c>
      <c r="E121" s="102"/>
      <c r="F121" s="51"/>
      <c r="G121" s="51"/>
      <c r="H121" s="51"/>
      <c r="I121" s="51"/>
      <c r="J121" s="80"/>
      <c r="K121" s="80"/>
      <c r="L121" s="80"/>
      <c r="M121" s="80"/>
      <c r="N121" s="80"/>
      <c r="O121" s="216"/>
      <c r="P121" s="81"/>
      <c r="Q121" s="81"/>
      <c r="R121" s="161"/>
      <c r="S121" s="95">
        <f t="shared" si="38"/>
        <v>0</v>
      </c>
      <c r="T121" s="95">
        <f t="shared" si="30"/>
        <v>0</v>
      </c>
    </row>
    <row r="122" spans="1:20" s="38" customFormat="1" ht="12" hidden="1">
      <c r="A122" s="264"/>
      <c r="B122" s="41"/>
      <c r="C122" s="125" t="s">
        <v>18</v>
      </c>
      <c r="D122" s="100">
        <f>SUM(E122:R122)</f>
        <v>0</v>
      </c>
      <c r="E122" s="102"/>
      <c r="F122" s="51"/>
      <c r="G122" s="51"/>
      <c r="H122" s="51"/>
      <c r="I122" s="51"/>
      <c r="J122" s="51"/>
      <c r="K122" s="51"/>
      <c r="L122" s="51"/>
      <c r="M122" s="51"/>
      <c r="N122" s="51"/>
      <c r="O122" s="107"/>
      <c r="P122" s="50"/>
      <c r="Q122" s="50"/>
      <c r="R122" s="161"/>
      <c r="S122" s="95">
        <f t="shared" si="38"/>
        <v>0</v>
      </c>
      <c r="T122" s="95">
        <f t="shared" si="30"/>
        <v>0</v>
      </c>
    </row>
    <row r="123" spans="1:20" s="38" customFormat="1" ht="12" hidden="1">
      <c r="A123" s="264"/>
      <c r="B123" s="41"/>
      <c r="C123" s="125" t="s">
        <v>19</v>
      </c>
      <c r="D123" s="100">
        <f>SUM(E123:R123)</f>
        <v>0</v>
      </c>
      <c r="E123" s="102"/>
      <c r="F123" s="51"/>
      <c r="G123" s="51"/>
      <c r="H123" s="51"/>
      <c r="I123" s="51"/>
      <c r="J123" s="80"/>
      <c r="K123" s="80"/>
      <c r="L123" s="80"/>
      <c r="M123" s="80"/>
      <c r="N123" s="80"/>
      <c r="O123" s="216"/>
      <c r="P123" s="81"/>
      <c r="Q123" s="81"/>
      <c r="R123" s="161"/>
      <c r="S123" s="95">
        <f t="shared" si="38"/>
        <v>0</v>
      </c>
      <c r="T123" s="95">
        <f t="shared" si="30"/>
        <v>0</v>
      </c>
    </row>
    <row r="124" spans="1:20" s="82" customFormat="1" ht="13.5" customHeight="1" hidden="1">
      <c r="A124" s="263"/>
      <c r="B124" s="41" t="s">
        <v>112</v>
      </c>
      <c r="C124" s="66"/>
      <c r="D124" s="99">
        <f>SUM(D125:D127)</f>
        <v>0</v>
      </c>
      <c r="E124" s="99">
        <f aca="true" t="shared" si="48" ref="E124:R124">SUM(E125:E127)</f>
        <v>0</v>
      </c>
      <c r="F124" s="99">
        <f t="shared" si="48"/>
        <v>0</v>
      </c>
      <c r="G124" s="99">
        <f t="shared" si="48"/>
        <v>0</v>
      </c>
      <c r="H124" s="99">
        <f t="shared" si="48"/>
        <v>0</v>
      </c>
      <c r="I124" s="99">
        <f t="shared" si="48"/>
        <v>0</v>
      </c>
      <c r="J124" s="99">
        <f t="shared" si="48"/>
        <v>0</v>
      </c>
      <c r="K124" s="99">
        <f t="shared" si="48"/>
        <v>0</v>
      </c>
      <c r="L124" s="99">
        <f t="shared" si="48"/>
        <v>0</v>
      </c>
      <c r="M124" s="99">
        <f t="shared" si="48"/>
        <v>0</v>
      </c>
      <c r="N124" s="99">
        <f t="shared" si="48"/>
        <v>0</v>
      </c>
      <c r="O124" s="213">
        <f t="shared" si="48"/>
        <v>0</v>
      </c>
      <c r="P124" s="165">
        <f t="shared" si="48"/>
        <v>0</v>
      </c>
      <c r="Q124" s="99">
        <f t="shared" si="48"/>
        <v>0</v>
      </c>
      <c r="R124" s="99">
        <f t="shared" si="48"/>
        <v>0</v>
      </c>
      <c r="S124" s="95">
        <f t="shared" si="38"/>
        <v>0</v>
      </c>
      <c r="T124" s="95">
        <f t="shared" si="30"/>
        <v>0</v>
      </c>
    </row>
    <row r="125" spans="1:20" s="38" customFormat="1" ht="14.25" customHeight="1" hidden="1">
      <c r="A125" s="264"/>
      <c r="B125" s="41"/>
      <c r="C125" s="125" t="s">
        <v>237</v>
      </c>
      <c r="D125" s="100">
        <f>SUM(E125:R125)</f>
        <v>0</v>
      </c>
      <c r="E125" s="102"/>
      <c r="F125" s="51"/>
      <c r="G125" s="51"/>
      <c r="H125" s="51"/>
      <c r="I125" s="51"/>
      <c r="J125" s="51"/>
      <c r="K125" s="51"/>
      <c r="L125" s="51"/>
      <c r="M125" s="51"/>
      <c r="N125" s="51"/>
      <c r="O125" s="107"/>
      <c r="P125" s="50"/>
      <c r="Q125" s="50"/>
      <c r="R125" s="161"/>
      <c r="S125" s="95">
        <f t="shared" si="38"/>
        <v>0</v>
      </c>
      <c r="T125" s="95">
        <f t="shared" si="30"/>
        <v>0</v>
      </c>
    </row>
    <row r="126" spans="1:20" s="38" customFormat="1" ht="14.25" customHeight="1" hidden="1">
      <c r="A126" s="264"/>
      <c r="B126" s="41"/>
      <c r="C126" s="125" t="s">
        <v>288</v>
      </c>
      <c r="D126" s="100">
        <f>SUM(E126:R126)</f>
        <v>0</v>
      </c>
      <c r="E126" s="102"/>
      <c r="F126" s="51"/>
      <c r="G126" s="51"/>
      <c r="H126" s="51"/>
      <c r="I126" s="51"/>
      <c r="J126" s="51"/>
      <c r="K126" s="51"/>
      <c r="L126" s="51"/>
      <c r="M126" s="51"/>
      <c r="N126" s="51"/>
      <c r="O126" s="107"/>
      <c r="P126" s="50"/>
      <c r="Q126" s="50"/>
      <c r="R126" s="161"/>
      <c r="S126" s="95"/>
      <c r="T126" s="95"/>
    </row>
    <row r="127" spans="1:20" s="38" customFormat="1" ht="14.25" customHeight="1" hidden="1">
      <c r="A127" s="264"/>
      <c r="B127" s="41"/>
      <c r="C127" s="125" t="s">
        <v>240</v>
      </c>
      <c r="D127" s="100">
        <f>SUM(E127:R127)</f>
        <v>0</v>
      </c>
      <c r="E127" s="102"/>
      <c r="F127" s="51"/>
      <c r="G127" s="51"/>
      <c r="H127" s="51"/>
      <c r="I127" s="51"/>
      <c r="J127" s="51"/>
      <c r="K127" s="51"/>
      <c r="L127" s="51"/>
      <c r="M127" s="51"/>
      <c r="N127" s="51"/>
      <c r="O127" s="107"/>
      <c r="P127" s="50"/>
      <c r="Q127" s="50"/>
      <c r="R127" s="161"/>
      <c r="S127" s="95"/>
      <c r="T127" s="95"/>
    </row>
    <row r="128" spans="1:20" s="82" customFormat="1" ht="13.5" customHeight="1">
      <c r="A128" s="263"/>
      <c r="B128" s="41" t="s">
        <v>113</v>
      </c>
      <c r="C128" s="66"/>
      <c r="D128" s="99">
        <f aca="true" t="shared" si="49" ref="D128:R128">SUM(D129:D130)</f>
        <v>50000000</v>
      </c>
      <c r="E128" s="99">
        <f t="shared" si="49"/>
        <v>0</v>
      </c>
      <c r="F128" s="99">
        <f t="shared" si="49"/>
        <v>0</v>
      </c>
      <c r="G128" s="99">
        <f t="shared" si="49"/>
        <v>0</v>
      </c>
      <c r="H128" s="99">
        <f t="shared" si="49"/>
        <v>0</v>
      </c>
      <c r="I128" s="99">
        <f t="shared" si="49"/>
        <v>0</v>
      </c>
      <c r="J128" s="99">
        <f t="shared" si="49"/>
        <v>0</v>
      </c>
      <c r="K128" s="99">
        <f t="shared" si="49"/>
        <v>0</v>
      </c>
      <c r="L128" s="99">
        <f t="shared" si="49"/>
        <v>0</v>
      </c>
      <c r="M128" s="99">
        <f t="shared" si="49"/>
        <v>50000000</v>
      </c>
      <c r="N128" s="99">
        <f t="shared" si="49"/>
        <v>0</v>
      </c>
      <c r="O128" s="213">
        <f t="shared" si="49"/>
        <v>0</v>
      </c>
      <c r="P128" s="136">
        <f t="shared" si="49"/>
        <v>0</v>
      </c>
      <c r="Q128" s="136">
        <f t="shared" si="49"/>
        <v>0</v>
      </c>
      <c r="R128" s="166">
        <f t="shared" si="49"/>
        <v>0</v>
      </c>
      <c r="S128" s="95">
        <f t="shared" si="38"/>
        <v>0</v>
      </c>
      <c r="T128" s="95">
        <f t="shared" si="30"/>
        <v>0</v>
      </c>
    </row>
    <row r="129" spans="1:20" s="38" customFormat="1" ht="13.5" customHeight="1">
      <c r="A129" s="264"/>
      <c r="B129" s="41"/>
      <c r="C129" s="125" t="s">
        <v>181</v>
      </c>
      <c r="D129" s="100">
        <f>SUM(E129:R129)</f>
        <v>50000000</v>
      </c>
      <c r="E129" s="102"/>
      <c r="F129" s="51"/>
      <c r="G129" s="51"/>
      <c r="H129" s="51"/>
      <c r="I129" s="51"/>
      <c r="J129" s="51"/>
      <c r="K129" s="51"/>
      <c r="L129" s="51"/>
      <c r="M129" s="51">
        <f>'[11]수질개선'!$A$35</f>
        <v>50000000</v>
      </c>
      <c r="N129" s="51"/>
      <c r="O129" s="107"/>
      <c r="P129" s="50"/>
      <c r="Q129" s="50"/>
      <c r="R129" s="161"/>
      <c r="S129" s="95">
        <f t="shared" si="38"/>
        <v>0</v>
      </c>
      <c r="T129" s="95">
        <f t="shared" si="30"/>
        <v>0</v>
      </c>
    </row>
    <row r="130" spans="1:20" s="38" customFormat="1" ht="13.5" customHeight="1" hidden="1">
      <c r="A130" s="264"/>
      <c r="B130" s="41"/>
      <c r="C130" s="125" t="s">
        <v>211</v>
      </c>
      <c r="D130" s="100">
        <f>SUM(E130:R130)</f>
        <v>0</v>
      </c>
      <c r="E130" s="102">
        <f>'[1]working'!$L$66-'[2]마지막 점검(AJE&amp;RJE(5))'!$G$106</f>
        <v>0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107"/>
      <c r="P130" s="50"/>
      <c r="Q130" s="50"/>
      <c r="R130" s="161"/>
      <c r="S130" s="95">
        <f t="shared" si="38"/>
        <v>0</v>
      </c>
      <c r="T130" s="95">
        <f t="shared" si="30"/>
        <v>0</v>
      </c>
    </row>
    <row r="131" spans="1:20" s="82" customFormat="1" ht="13.5" customHeight="1" hidden="1">
      <c r="A131" s="263"/>
      <c r="B131" s="41" t="s">
        <v>114</v>
      </c>
      <c r="C131" s="66"/>
      <c r="D131" s="99">
        <f>D132</f>
        <v>0</v>
      </c>
      <c r="E131" s="99">
        <f>E132</f>
        <v>0</v>
      </c>
      <c r="F131" s="99">
        <f aca="true" t="shared" si="50" ref="F131:R131">F132</f>
        <v>0</v>
      </c>
      <c r="G131" s="99">
        <f t="shared" si="50"/>
        <v>0</v>
      </c>
      <c r="H131" s="99">
        <f t="shared" si="50"/>
        <v>0</v>
      </c>
      <c r="I131" s="99">
        <f t="shared" si="50"/>
        <v>0</v>
      </c>
      <c r="J131" s="99">
        <f t="shared" si="50"/>
        <v>0</v>
      </c>
      <c r="K131" s="99">
        <f t="shared" si="50"/>
        <v>0</v>
      </c>
      <c r="L131" s="99">
        <f t="shared" si="50"/>
        <v>0</v>
      </c>
      <c r="M131" s="99">
        <f t="shared" si="50"/>
        <v>0</v>
      </c>
      <c r="N131" s="99">
        <f t="shared" si="50"/>
        <v>0</v>
      </c>
      <c r="O131" s="213">
        <f t="shared" si="50"/>
        <v>0</v>
      </c>
      <c r="P131" s="136">
        <f t="shared" si="50"/>
        <v>0</v>
      </c>
      <c r="Q131" s="136">
        <f t="shared" si="50"/>
        <v>0</v>
      </c>
      <c r="R131" s="166">
        <f t="shared" si="50"/>
        <v>0</v>
      </c>
      <c r="S131" s="95">
        <f t="shared" si="38"/>
        <v>0</v>
      </c>
      <c r="T131" s="95">
        <f t="shared" si="30"/>
        <v>0</v>
      </c>
    </row>
    <row r="132" spans="1:20" s="38" customFormat="1" ht="13.5" customHeight="1" hidden="1">
      <c r="A132" s="264"/>
      <c r="B132" s="41"/>
      <c r="C132" s="125" t="s">
        <v>93</v>
      </c>
      <c r="D132" s="100">
        <f>SUM(E132:R132)</f>
        <v>0</v>
      </c>
      <c r="E132" s="102"/>
      <c r="F132" s="51"/>
      <c r="G132" s="51"/>
      <c r="H132" s="51"/>
      <c r="I132" s="51"/>
      <c r="J132" s="80"/>
      <c r="K132" s="51"/>
      <c r="L132" s="51"/>
      <c r="M132" s="51"/>
      <c r="N132" s="51"/>
      <c r="O132" s="107"/>
      <c r="P132" s="50"/>
      <c r="Q132" s="50"/>
      <c r="R132" s="161"/>
      <c r="S132" s="95">
        <f t="shared" si="38"/>
        <v>0</v>
      </c>
      <c r="T132" s="95">
        <f t="shared" si="30"/>
        <v>0</v>
      </c>
    </row>
    <row r="133" spans="1:20" s="82" customFormat="1" ht="14.25" customHeight="1">
      <c r="A133" s="263"/>
      <c r="B133" s="41" t="s">
        <v>115</v>
      </c>
      <c r="C133" s="66"/>
      <c r="D133" s="99">
        <f>D134</f>
        <v>210000</v>
      </c>
      <c r="E133" s="99">
        <f aca="true" t="shared" si="51" ref="E133:R133">E134</f>
        <v>0</v>
      </c>
      <c r="F133" s="99">
        <f t="shared" si="51"/>
        <v>0</v>
      </c>
      <c r="G133" s="99">
        <f t="shared" si="51"/>
        <v>210000</v>
      </c>
      <c r="H133" s="99">
        <f t="shared" si="51"/>
        <v>0</v>
      </c>
      <c r="I133" s="99">
        <f t="shared" si="51"/>
        <v>0</v>
      </c>
      <c r="J133" s="99">
        <f t="shared" si="51"/>
        <v>0</v>
      </c>
      <c r="K133" s="99">
        <f t="shared" si="51"/>
        <v>0</v>
      </c>
      <c r="L133" s="99">
        <f t="shared" si="51"/>
        <v>0</v>
      </c>
      <c r="M133" s="99">
        <f t="shared" si="51"/>
        <v>0</v>
      </c>
      <c r="N133" s="99">
        <f t="shared" si="51"/>
        <v>0</v>
      </c>
      <c r="O133" s="213">
        <f t="shared" si="51"/>
        <v>0</v>
      </c>
      <c r="P133" s="136">
        <f t="shared" si="51"/>
        <v>0</v>
      </c>
      <c r="Q133" s="136">
        <f t="shared" si="51"/>
        <v>0</v>
      </c>
      <c r="R133" s="166">
        <f t="shared" si="51"/>
        <v>0</v>
      </c>
      <c r="S133" s="95">
        <f t="shared" si="38"/>
        <v>0</v>
      </c>
      <c r="T133" s="95">
        <f t="shared" si="30"/>
        <v>0</v>
      </c>
    </row>
    <row r="134" spans="1:20" s="38" customFormat="1" ht="13.5" customHeight="1">
      <c r="A134" s="264"/>
      <c r="B134" s="137"/>
      <c r="C134" s="125" t="s">
        <v>94</v>
      </c>
      <c r="D134" s="100">
        <f>SUM(E134:R134)</f>
        <v>210000</v>
      </c>
      <c r="E134" s="102"/>
      <c r="F134" s="51"/>
      <c r="G134" s="51">
        <f>'[5]의료급여'!$A$24</f>
        <v>210000</v>
      </c>
      <c r="H134" s="51"/>
      <c r="I134" s="51"/>
      <c r="J134" s="80"/>
      <c r="K134" s="51"/>
      <c r="L134" s="51"/>
      <c r="M134" s="51"/>
      <c r="N134" s="51"/>
      <c r="O134" s="107"/>
      <c r="P134" s="50"/>
      <c r="Q134" s="50"/>
      <c r="R134" s="161"/>
      <c r="S134" s="95">
        <f t="shared" si="38"/>
        <v>0</v>
      </c>
      <c r="T134" s="95">
        <f t="shared" si="30"/>
        <v>0</v>
      </c>
    </row>
    <row r="135" spans="1:20" s="82" customFormat="1" ht="12" hidden="1">
      <c r="A135" s="263"/>
      <c r="B135" s="41" t="s">
        <v>116</v>
      </c>
      <c r="C135" s="66"/>
      <c r="D135" s="99">
        <f>D136</f>
        <v>0</v>
      </c>
      <c r="E135" s="99">
        <f aca="true" t="shared" si="52" ref="E135:R135">E136</f>
        <v>0</v>
      </c>
      <c r="F135" s="99">
        <f t="shared" si="52"/>
        <v>0</v>
      </c>
      <c r="G135" s="99">
        <f t="shared" si="52"/>
        <v>0</v>
      </c>
      <c r="H135" s="99">
        <f t="shared" si="52"/>
        <v>0</v>
      </c>
      <c r="I135" s="99">
        <f t="shared" si="52"/>
        <v>0</v>
      </c>
      <c r="J135" s="99">
        <f t="shared" si="52"/>
        <v>0</v>
      </c>
      <c r="K135" s="99">
        <f t="shared" si="52"/>
        <v>0</v>
      </c>
      <c r="L135" s="99">
        <f t="shared" si="52"/>
        <v>0</v>
      </c>
      <c r="M135" s="99">
        <f t="shared" si="52"/>
        <v>0</v>
      </c>
      <c r="N135" s="99">
        <f t="shared" si="52"/>
        <v>0</v>
      </c>
      <c r="O135" s="213">
        <f t="shared" si="52"/>
        <v>0</v>
      </c>
      <c r="P135" s="136">
        <f t="shared" si="52"/>
        <v>0</v>
      </c>
      <c r="Q135" s="136">
        <f t="shared" si="52"/>
        <v>0</v>
      </c>
      <c r="R135" s="166">
        <f t="shared" si="52"/>
        <v>0</v>
      </c>
      <c r="S135" s="95">
        <f t="shared" si="38"/>
        <v>0</v>
      </c>
      <c r="T135" s="95">
        <f t="shared" si="30"/>
        <v>0</v>
      </c>
    </row>
    <row r="136" spans="1:20" s="38" customFormat="1" ht="13.5" customHeight="1" hidden="1">
      <c r="A136" s="264"/>
      <c r="B136" s="41"/>
      <c r="C136" s="125" t="s">
        <v>20</v>
      </c>
      <c r="D136" s="100">
        <f>SUM(E136:R136)</f>
        <v>0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107"/>
      <c r="P136" s="50"/>
      <c r="Q136" s="50"/>
      <c r="R136" s="162"/>
      <c r="S136" s="95">
        <f t="shared" si="38"/>
        <v>0</v>
      </c>
      <c r="T136" s="95">
        <f t="shared" si="30"/>
        <v>0</v>
      </c>
    </row>
    <row r="137" spans="1:20" s="82" customFormat="1" ht="13.5" customHeight="1">
      <c r="A137" s="263"/>
      <c r="B137" s="41" t="s">
        <v>117</v>
      </c>
      <c r="C137" s="66"/>
      <c r="D137" s="99">
        <f>D138</f>
        <v>89974600</v>
      </c>
      <c r="E137" s="99">
        <f aca="true" t="shared" si="53" ref="E137:R137">E138</f>
        <v>0</v>
      </c>
      <c r="F137" s="99">
        <f t="shared" si="53"/>
        <v>0</v>
      </c>
      <c r="G137" s="99">
        <f t="shared" si="53"/>
        <v>89974600</v>
      </c>
      <c r="H137" s="99">
        <f t="shared" si="53"/>
        <v>0</v>
      </c>
      <c r="I137" s="99">
        <f t="shared" si="53"/>
        <v>0</v>
      </c>
      <c r="J137" s="99">
        <f t="shared" si="53"/>
        <v>0</v>
      </c>
      <c r="K137" s="99">
        <f t="shared" si="53"/>
        <v>0</v>
      </c>
      <c r="L137" s="99">
        <f t="shared" si="53"/>
        <v>0</v>
      </c>
      <c r="M137" s="99">
        <f t="shared" si="53"/>
        <v>0</v>
      </c>
      <c r="N137" s="99">
        <f t="shared" si="53"/>
        <v>0</v>
      </c>
      <c r="O137" s="213">
        <f t="shared" si="53"/>
        <v>0</v>
      </c>
      <c r="P137" s="136">
        <f t="shared" si="53"/>
        <v>0</v>
      </c>
      <c r="Q137" s="136">
        <f t="shared" si="53"/>
        <v>0</v>
      </c>
      <c r="R137" s="166">
        <f t="shared" si="53"/>
        <v>0</v>
      </c>
      <c r="S137" s="95">
        <f t="shared" si="38"/>
        <v>0</v>
      </c>
      <c r="T137" s="95">
        <f t="shared" si="30"/>
        <v>0</v>
      </c>
    </row>
    <row r="138" spans="1:20" s="38" customFormat="1" ht="13.5" customHeight="1">
      <c r="A138" s="264"/>
      <c r="B138" s="41"/>
      <c r="C138" s="125" t="s">
        <v>61</v>
      </c>
      <c r="D138" s="100">
        <f>SUM(E138:R138)</f>
        <v>89974600</v>
      </c>
      <c r="E138" s="102"/>
      <c r="F138" s="51"/>
      <c r="G138" s="51">
        <f>'[5]의료급여'!$A$26</f>
        <v>89974600</v>
      </c>
      <c r="H138" s="51"/>
      <c r="I138" s="51"/>
      <c r="J138" s="51"/>
      <c r="K138" s="51"/>
      <c r="L138" s="51"/>
      <c r="M138" s="51"/>
      <c r="N138" s="51"/>
      <c r="O138" s="107"/>
      <c r="P138" s="50"/>
      <c r="Q138" s="50"/>
      <c r="R138" s="161"/>
      <c r="S138" s="95">
        <f t="shared" si="38"/>
        <v>0</v>
      </c>
      <c r="T138" s="95">
        <f t="shared" si="30"/>
        <v>0</v>
      </c>
    </row>
    <row r="139" spans="1:20" s="38" customFormat="1" ht="13.5" customHeight="1" hidden="1">
      <c r="A139" s="264"/>
      <c r="B139" s="41" t="s">
        <v>238</v>
      </c>
      <c r="C139" s="125"/>
      <c r="D139" s="96">
        <f>D140</f>
        <v>0</v>
      </c>
      <c r="E139" s="96">
        <f aca="true" t="shared" si="54" ref="E139:R139">E140</f>
        <v>0</v>
      </c>
      <c r="F139" s="96">
        <f t="shared" si="54"/>
        <v>0</v>
      </c>
      <c r="G139" s="96">
        <f t="shared" si="54"/>
        <v>0</v>
      </c>
      <c r="H139" s="96">
        <f t="shared" si="54"/>
        <v>0</v>
      </c>
      <c r="I139" s="96">
        <f t="shared" si="54"/>
        <v>0</v>
      </c>
      <c r="J139" s="96">
        <f t="shared" si="54"/>
        <v>0</v>
      </c>
      <c r="K139" s="96">
        <f t="shared" si="54"/>
        <v>0</v>
      </c>
      <c r="L139" s="96">
        <f t="shared" si="54"/>
        <v>0</v>
      </c>
      <c r="M139" s="96">
        <f t="shared" si="54"/>
        <v>0</v>
      </c>
      <c r="N139" s="96">
        <f t="shared" si="54"/>
        <v>0</v>
      </c>
      <c r="O139" s="215">
        <f t="shared" si="54"/>
        <v>0</v>
      </c>
      <c r="P139" s="170">
        <f t="shared" si="54"/>
        <v>0</v>
      </c>
      <c r="Q139" s="170">
        <f t="shared" si="54"/>
        <v>0</v>
      </c>
      <c r="R139" s="164">
        <f t="shared" si="54"/>
        <v>0</v>
      </c>
      <c r="S139" s="95"/>
      <c r="T139" s="95">
        <f t="shared" si="30"/>
        <v>0</v>
      </c>
    </row>
    <row r="140" spans="1:20" s="38" customFormat="1" ht="13.5" customHeight="1" hidden="1">
      <c r="A140" s="264"/>
      <c r="B140" s="41"/>
      <c r="C140" s="125" t="s">
        <v>238</v>
      </c>
      <c r="D140" s="100">
        <f>SUM(E140:R140)</f>
        <v>0</v>
      </c>
      <c r="E140" s="102"/>
      <c r="F140" s="51"/>
      <c r="G140" s="51"/>
      <c r="H140" s="51"/>
      <c r="I140" s="51"/>
      <c r="J140" s="51"/>
      <c r="K140" s="51"/>
      <c r="L140" s="51"/>
      <c r="M140" s="51"/>
      <c r="N140" s="51"/>
      <c r="O140" s="107"/>
      <c r="P140" s="50"/>
      <c r="Q140" s="50"/>
      <c r="R140" s="161"/>
      <c r="S140" s="95"/>
      <c r="T140" s="95">
        <f t="shared" si="30"/>
        <v>0</v>
      </c>
    </row>
    <row r="141" spans="1:20" s="82" customFormat="1" ht="13.5" customHeight="1">
      <c r="A141" s="263"/>
      <c r="B141" s="41" t="s">
        <v>118</v>
      </c>
      <c r="C141" s="66"/>
      <c r="D141" s="99">
        <f aca="true" t="shared" si="55" ref="D141:R141">SUM(D142:D144)</f>
        <v>22324490</v>
      </c>
      <c r="E141" s="99">
        <f t="shared" si="55"/>
        <v>0</v>
      </c>
      <c r="F141" s="99">
        <f t="shared" si="55"/>
        <v>0</v>
      </c>
      <c r="G141" s="99">
        <f t="shared" si="55"/>
        <v>22324490</v>
      </c>
      <c r="H141" s="99">
        <f t="shared" si="55"/>
        <v>0</v>
      </c>
      <c r="I141" s="99">
        <f t="shared" si="55"/>
        <v>0</v>
      </c>
      <c r="J141" s="99">
        <f t="shared" si="55"/>
        <v>0</v>
      </c>
      <c r="K141" s="99">
        <f t="shared" si="55"/>
        <v>0</v>
      </c>
      <c r="L141" s="99">
        <f t="shared" si="55"/>
        <v>0</v>
      </c>
      <c r="M141" s="99">
        <f t="shared" si="55"/>
        <v>0</v>
      </c>
      <c r="N141" s="99">
        <f t="shared" si="55"/>
        <v>0</v>
      </c>
      <c r="O141" s="213">
        <f t="shared" si="55"/>
        <v>0</v>
      </c>
      <c r="P141" s="136">
        <f t="shared" si="55"/>
        <v>0</v>
      </c>
      <c r="Q141" s="136">
        <f t="shared" si="55"/>
        <v>0</v>
      </c>
      <c r="R141" s="166">
        <f t="shared" si="55"/>
        <v>0</v>
      </c>
      <c r="S141" s="95">
        <f aca="true" t="shared" si="56" ref="S141:S146">D141-SUM(E141:R141)</f>
        <v>0</v>
      </c>
      <c r="T141" s="95">
        <f t="shared" si="30"/>
        <v>0</v>
      </c>
    </row>
    <row r="142" spans="1:20" s="38" customFormat="1" ht="13.5" customHeight="1" hidden="1">
      <c r="A142" s="264"/>
      <c r="B142" s="41"/>
      <c r="C142" s="125" t="s">
        <v>22</v>
      </c>
      <c r="D142" s="100">
        <f>SUM(E142:R142)</f>
        <v>0</v>
      </c>
      <c r="E142" s="102">
        <f>SUM(F142:K142)</f>
        <v>0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107"/>
      <c r="P142" s="50"/>
      <c r="Q142" s="50"/>
      <c r="R142" s="161"/>
      <c r="S142" s="95">
        <f t="shared" si="56"/>
        <v>0</v>
      </c>
      <c r="T142" s="95">
        <f t="shared" si="30"/>
        <v>0</v>
      </c>
    </row>
    <row r="143" spans="1:20" s="38" customFormat="1" ht="13.5" customHeight="1">
      <c r="A143" s="264"/>
      <c r="B143" s="137"/>
      <c r="C143" s="125" t="s">
        <v>225</v>
      </c>
      <c r="D143" s="100">
        <f>SUM(E143:R143)</f>
        <v>22324490</v>
      </c>
      <c r="E143" s="102"/>
      <c r="F143" s="51"/>
      <c r="G143" s="51">
        <f>'[5]의료급여'!$A$28</f>
        <v>22324490</v>
      </c>
      <c r="H143" s="51"/>
      <c r="I143" s="51"/>
      <c r="J143" s="80"/>
      <c r="K143" s="80"/>
      <c r="L143" s="80"/>
      <c r="M143" s="80"/>
      <c r="N143" s="80"/>
      <c r="O143" s="216"/>
      <c r="P143" s="81"/>
      <c r="Q143" s="81"/>
      <c r="R143" s="161"/>
      <c r="S143" s="95">
        <f t="shared" si="56"/>
        <v>0</v>
      </c>
      <c r="T143" s="95">
        <f t="shared" si="30"/>
        <v>0</v>
      </c>
    </row>
    <row r="144" spans="1:20" s="38" customFormat="1" ht="13.5" customHeight="1" hidden="1">
      <c r="A144" s="264"/>
      <c r="B144" s="41"/>
      <c r="C144" s="125" t="s">
        <v>21</v>
      </c>
      <c r="D144" s="100">
        <f>SUM(E144:R144)</f>
        <v>0</v>
      </c>
      <c r="E144" s="102"/>
      <c r="F144" s="51"/>
      <c r="G144" s="51"/>
      <c r="H144" s="51"/>
      <c r="I144" s="51"/>
      <c r="J144" s="80"/>
      <c r="K144" s="80"/>
      <c r="L144" s="80"/>
      <c r="M144" s="80"/>
      <c r="N144" s="80"/>
      <c r="O144" s="216"/>
      <c r="P144" s="81"/>
      <c r="Q144" s="81"/>
      <c r="R144" s="161"/>
      <c r="S144" s="95">
        <f t="shared" si="56"/>
        <v>0</v>
      </c>
      <c r="T144" s="95">
        <f t="shared" si="30"/>
        <v>0</v>
      </c>
    </row>
    <row r="145" spans="1:20" s="38" customFormat="1" ht="13.5" customHeight="1">
      <c r="A145" s="264"/>
      <c r="B145" s="41"/>
      <c r="C145" s="125"/>
      <c r="D145" s="102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107"/>
      <c r="P145" s="50"/>
      <c r="Q145" s="50"/>
      <c r="R145" s="161"/>
      <c r="S145" s="95">
        <f t="shared" si="56"/>
        <v>0</v>
      </c>
      <c r="T145" s="95">
        <f t="shared" si="30"/>
        <v>0</v>
      </c>
    </row>
    <row r="146" spans="1:20" s="82" customFormat="1" ht="13.5" customHeight="1">
      <c r="A146" s="263" t="s">
        <v>29</v>
      </c>
      <c r="B146" s="41"/>
      <c r="C146" s="66"/>
      <c r="D146" s="99">
        <f>D147+D149+D151+D153</f>
        <v>1373563000</v>
      </c>
      <c r="E146" s="99">
        <f aca="true" t="shared" si="57" ref="E146:R146">E147+E149+E151+E153</f>
        <v>0</v>
      </c>
      <c r="F146" s="99">
        <f t="shared" si="57"/>
        <v>0</v>
      </c>
      <c r="G146" s="99">
        <f t="shared" si="57"/>
        <v>1373563000</v>
      </c>
      <c r="H146" s="99">
        <f t="shared" si="57"/>
        <v>0</v>
      </c>
      <c r="I146" s="99">
        <f t="shared" si="57"/>
        <v>0</v>
      </c>
      <c r="J146" s="99">
        <f t="shared" si="57"/>
        <v>0</v>
      </c>
      <c r="K146" s="99">
        <f t="shared" si="57"/>
        <v>0</v>
      </c>
      <c r="L146" s="99">
        <f t="shared" si="57"/>
        <v>0</v>
      </c>
      <c r="M146" s="99">
        <f t="shared" si="57"/>
        <v>0</v>
      </c>
      <c r="N146" s="99">
        <f t="shared" si="57"/>
        <v>0</v>
      </c>
      <c r="O146" s="213">
        <f t="shared" si="57"/>
        <v>0</v>
      </c>
      <c r="P146" s="136">
        <f t="shared" si="57"/>
        <v>0</v>
      </c>
      <c r="Q146" s="136">
        <f t="shared" si="57"/>
        <v>0</v>
      </c>
      <c r="R146" s="166">
        <f t="shared" si="57"/>
        <v>0</v>
      </c>
      <c r="S146" s="95">
        <f t="shared" si="56"/>
        <v>0</v>
      </c>
      <c r="T146" s="95">
        <f t="shared" si="30"/>
        <v>0</v>
      </c>
    </row>
    <row r="147" spans="1:20" s="82" customFormat="1" ht="13.5" customHeight="1" hidden="1">
      <c r="A147" s="263"/>
      <c r="B147" s="41" t="s">
        <v>217</v>
      </c>
      <c r="C147" s="66"/>
      <c r="D147" s="99">
        <f aca="true" t="shared" si="58" ref="D147:R147">D148</f>
        <v>0</v>
      </c>
      <c r="E147" s="99">
        <f t="shared" si="58"/>
        <v>0</v>
      </c>
      <c r="F147" s="99">
        <f t="shared" si="58"/>
        <v>0</v>
      </c>
      <c r="G147" s="99">
        <f t="shared" si="58"/>
        <v>0</v>
      </c>
      <c r="H147" s="99">
        <f t="shared" si="58"/>
        <v>0</v>
      </c>
      <c r="I147" s="99">
        <f t="shared" si="58"/>
        <v>0</v>
      </c>
      <c r="J147" s="99">
        <f t="shared" si="58"/>
        <v>0</v>
      </c>
      <c r="K147" s="99">
        <f t="shared" si="58"/>
        <v>0</v>
      </c>
      <c r="L147" s="99">
        <f t="shared" si="58"/>
        <v>0</v>
      </c>
      <c r="M147" s="99">
        <f t="shared" si="58"/>
        <v>0</v>
      </c>
      <c r="N147" s="99">
        <f t="shared" si="58"/>
        <v>0</v>
      </c>
      <c r="O147" s="213">
        <f t="shared" si="58"/>
        <v>0</v>
      </c>
      <c r="P147" s="136">
        <f t="shared" si="58"/>
        <v>0</v>
      </c>
      <c r="Q147" s="136">
        <f t="shared" si="58"/>
        <v>0</v>
      </c>
      <c r="R147" s="166">
        <f t="shared" si="58"/>
        <v>0</v>
      </c>
      <c r="S147" s="95"/>
      <c r="T147" s="95">
        <f aca="true" t="shared" si="59" ref="T147:T204">D147-SUM(E147:R147)</f>
        <v>0</v>
      </c>
    </row>
    <row r="148" spans="1:20" s="38" customFormat="1" ht="13.5" customHeight="1" hidden="1">
      <c r="A148" s="264"/>
      <c r="B148" s="137"/>
      <c r="C148" s="125" t="s">
        <v>217</v>
      </c>
      <c r="D148" s="100">
        <f>SUM(E148:R148)</f>
        <v>0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217"/>
      <c r="P148" s="143"/>
      <c r="Q148" s="143"/>
      <c r="R148" s="167"/>
      <c r="S148" s="95"/>
      <c r="T148" s="95">
        <f t="shared" si="59"/>
        <v>0</v>
      </c>
    </row>
    <row r="149" spans="1:20" s="82" customFormat="1" ht="12">
      <c r="A149" s="263"/>
      <c r="B149" s="41" t="s">
        <v>187</v>
      </c>
      <c r="C149" s="66"/>
      <c r="D149" s="99">
        <f>D150</f>
        <v>1373563000</v>
      </c>
      <c r="E149" s="99">
        <f aca="true" t="shared" si="60" ref="E149:R149">E150</f>
        <v>0</v>
      </c>
      <c r="F149" s="99">
        <f t="shared" si="60"/>
        <v>0</v>
      </c>
      <c r="G149" s="99">
        <f t="shared" si="60"/>
        <v>1373563000</v>
      </c>
      <c r="H149" s="99">
        <f t="shared" si="60"/>
        <v>0</v>
      </c>
      <c r="I149" s="99">
        <f t="shared" si="60"/>
        <v>0</v>
      </c>
      <c r="J149" s="99">
        <f t="shared" si="60"/>
        <v>0</v>
      </c>
      <c r="K149" s="99">
        <f t="shared" si="60"/>
        <v>0</v>
      </c>
      <c r="L149" s="99">
        <f t="shared" si="60"/>
        <v>0</v>
      </c>
      <c r="M149" s="99">
        <f t="shared" si="60"/>
        <v>0</v>
      </c>
      <c r="N149" s="99">
        <f t="shared" si="60"/>
        <v>0</v>
      </c>
      <c r="O149" s="213">
        <f t="shared" si="60"/>
        <v>0</v>
      </c>
      <c r="P149" s="136">
        <f t="shared" si="60"/>
        <v>0</v>
      </c>
      <c r="Q149" s="136">
        <f t="shared" si="60"/>
        <v>0</v>
      </c>
      <c r="R149" s="166">
        <f t="shared" si="60"/>
        <v>0</v>
      </c>
      <c r="S149" s="95">
        <f aca="true" t="shared" si="61" ref="S149:S162">D149-SUM(E149:R149)</f>
        <v>0</v>
      </c>
      <c r="T149" s="95">
        <f t="shared" si="59"/>
        <v>0</v>
      </c>
    </row>
    <row r="150" spans="1:20" s="38" customFormat="1" ht="13.5" customHeight="1">
      <c r="A150" s="264"/>
      <c r="B150" s="41"/>
      <c r="C150" s="125" t="s">
        <v>187</v>
      </c>
      <c r="D150" s="100">
        <f>SUM(E150:R150)</f>
        <v>1373563000</v>
      </c>
      <c r="E150" s="102"/>
      <c r="F150" s="80"/>
      <c r="G150" s="51">
        <f>'[5]의료급여'!$A$30</f>
        <v>1373563000</v>
      </c>
      <c r="H150" s="51"/>
      <c r="I150" s="51"/>
      <c r="J150" s="51"/>
      <c r="K150" s="51"/>
      <c r="L150" s="51"/>
      <c r="M150" s="51"/>
      <c r="N150" s="51"/>
      <c r="O150" s="107"/>
      <c r="P150" s="50"/>
      <c r="Q150" s="50"/>
      <c r="R150" s="161"/>
      <c r="S150" s="95">
        <f t="shared" si="61"/>
        <v>0</v>
      </c>
      <c r="T150" s="95">
        <f t="shared" si="59"/>
        <v>0</v>
      </c>
    </row>
    <row r="151" spans="1:20" s="82" customFormat="1" ht="15" customHeight="1" hidden="1">
      <c r="A151" s="263"/>
      <c r="B151" s="41" t="s">
        <v>98</v>
      </c>
      <c r="C151" s="66"/>
      <c r="D151" s="99">
        <f aca="true" t="shared" si="62" ref="D151:R151">D152</f>
        <v>0</v>
      </c>
      <c r="E151" s="99">
        <f t="shared" si="62"/>
        <v>0</v>
      </c>
      <c r="F151" s="99">
        <f t="shared" si="62"/>
        <v>0</v>
      </c>
      <c r="G151" s="99">
        <f t="shared" si="62"/>
        <v>0</v>
      </c>
      <c r="H151" s="99">
        <f t="shared" si="62"/>
        <v>0</v>
      </c>
      <c r="I151" s="99">
        <f t="shared" si="62"/>
        <v>0</v>
      </c>
      <c r="J151" s="99">
        <f t="shared" si="62"/>
        <v>0</v>
      </c>
      <c r="K151" s="99">
        <f t="shared" si="62"/>
        <v>0</v>
      </c>
      <c r="L151" s="99">
        <f t="shared" si="62"/>
        <v>0</v>
      </c>
      <c r="M151" s="99">
        <f t="shared" si="62"/>
        <v>0</v>
      </c>
      <c r="N151" s="99">
        <f t="shared" si="62"/>
        <v>0</v>
      </c>
      <c r="O151" s="213">
        <f t="shared" si="62"/>
        <v>0</v>
      </c>
      <c r="P151" s="136">
        <f t="shared" si="62"/>
        <v>0</v>
      </c>
      <c r="Q151" s="136">
        <f t="shared" si="62"/>
        <v>0</v>
      </c>
      <c r="R151" s="166">
        <f t="shared" si="62"/>
        <v>0</v>
      </c>
      <c r="S151" s="95">
        <f t="shared" si="61"/>
        <v>0</v>
      </c>
      <c r="T151" s="95">
        <f t="shared" si="59"/>
        <v>0</v>
      </c>
    </row>
    <row r="152" spans="1:20" s="38" customFormat="1" ht="15" customHeight="1" hidden="1">
      <c r="A152" s="264"/>
      <c r="B152" s="41"/>
      <c r="C152" s="125" t="s">
        <v>321</v>
      </c>
      <c r="D152" s="100">
        <f>SUM(E152:R152)</f>
        <v>0</v>
      </c>
      <c r="E152" s="102"/>
      <c r="F152" s="51"/>
      <c r="G152" s="51"/>
      <c r="H152" s="51"/>
      <c r="I152" s="51"/>
      <c r="J152" s="51"/>
      <c r="K152" s="51"/>
      <c r="L152" s="51"/>
      <c r="M152" s="51"/>
      <c r="N152" s="51"/>
      <c r="O152" s="107"/>
      <c r="P152" s="50"/>
      <c r="Q152" s="50"/>
      <c r="R152" s="162"/>
      <c r="S152" s="95">
        <f t="shared" si="61"/>
        <v>0</v>
      </c>
      <c r="T152" s="95">
        <f t="shared" si="59"/>
        <v>0</v>
      </c>
    </row>
    <row r="153" spans="1:20" s="38" customFormat="1" ht="15" customHeight="1" hidden="1">
      <c r="A153" s="264"/>
      <c r="B153" s="41" t="s">
        <v>312</v>
      </c>
      <c r="C153" s="66"/>
      <c r="D153" s="96">
        <f>D154</f>
        <v>0</v>
      </c>
      <c r="E153" s="96">
        <f aca="true" t="shared" si="63" ref="E153:R153">E154</f>
        <v>0</v>
      </c>
      <c r="F153" s="96">
        <f t="shared" si="63"/>
        <v>0</v>
      </c>
      <c r="G153" s="96">
        <f t="shared" si="63"/>
        <v>0</v>
      </c>
      <c r="H153" s="96">
        <f t="shared" si="63"/>
        <v>0</v>
      </c>
      <c r="I153" s="96">
        <f t="shared" si="63"/>
        <v>0</v>
      </c>
      <c r="J153" s="96">
        <f t="shared" si="63"/>
        <v>0</v>
      </c>
      <c r="K153" s="96">
        <f t="shared" si="63"/>
        <v>0</v>
      </c>
      <c r="L153" s="96">
        <f t="shared" si="63"/>
        <v>0</v>
      </c>
      <c r="M153" s="96">
        <f t="shared" si="63"/>
        <v>0</v>
      </c>
      <c r="N153" s="96">
        <f t="shared" si="63"/>
        <v>0</v>
      </c>
      <c r="O153" s="215">
        <f t="shared" si="63"/>
        <v>0</v>
      </c>
      <c r="P153" s="170">
        <f t="shared" si="63"/>
        <v>0</v>
      </c>
      <c r="Q153" s="170">
        <f t="shared" si="63"/>
        <v>0</v>
      </c>
      <c r="R153" s="164">
        <f t="shared" si="63"/>
        <v>0</v>
      </c>
      <c r="S153" s="95"/>
      <c r="T153" s="95"/>
    </row>
    <row r="154" spans="1:20" s="38" customFormat="1" ht="12" hidden="1">
      <c r="A154" s="264"/>
      <c r="B154" s="41"/>
      <c r="C154" s="125" t="s">
        <v>312</v>
      </c>
      <c r="D154" s="100">
        <f>SUM(E154:R154)</f>
        <v>0</v>
      </c>
      <c r="E154" s="102"/>
      <c r="F154" s="51"/>
      <c r="G154" s="51"/>
      <c r="H154" s="51"/>
      <c r="I154" s="51"/>
      <c r="J154" s="51"/>
      <c r="K154" s="51"/>
      <c r="L154" s="51"/>
      <c r="M154" s="51"/>
      <c r="N154" s="51"/>
      <c r="O154" s="107"/>
      <c r="P154" s="50"/>
      <c r="Q154" s="50"/>
      <c r="R154" s="161"/>
      <c r="S154" s="95">
        <f t="shared" si="61"/>
        <v>0</v>
      </c>
      <c r="T154" s="95">
        <f t="shared" si="59"/>
        <v>0</v>
      </c>
    </row>
    <row r="155" spans="1:20" s="38" customFormat="1" ht="13.5" customHeight="1">
      <c r="A155" s="264"/>
      <c r="B155" s="41"/>
      <c r="C155" s="125"/>
      <c r="D155" s="102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107"/>
      <c r="P155" s="50"/>
      <c r="Q155" s="50"/>
      <c r="R155" s="161"/>
      <c r="S155" s="95">
        <f t="shared" si="61"/>
        <v>0</v>
      </c>
      <c r="T155" s="95">
        <f t="shared" si="59"/>
        <v>0</v>
      </c>
    </row>
    <row r="156" spans="1:20" s="82" customFormat="1" ht="13.5" customHeight="1">
      <c r="A156" s="263" t="s">
        <v>119</v>
      </c>
      <c r="B156" s="41"/>
      <c r="C156" s="66"/>
      <c r="D156" s="99">
        <f aca="true" t="shared" si="64" ref="D156:R156">D157+D159+D165+D169+D171+D163+D167</f>
        <v>628023180</v>
      </c>
      <c r="E156" s="99">
        <f t="shared" si="64"/>
        <v>0</v>
      </c>
      <c r="F156" s="99">
        <f t="shared" si="64"/>
        <v>0</v>
      </c>
      <c r="G156" s="99">
        <f t="shared" si="64"/>
        <v>0</v>
      </c>
      <c r="H156" s="99">
        <f t="shared" si="64"/>
        <v>0</v>
      </c>
      <c r="I156" s="99">
        <f t="shared" si="64"/>
        <v>0</v>
      </c>
      <c r="J156" s="99">
        <f t="shared" si="64"/>
        <v>0</v>
      </c>
      <c r="K156" s="99">
        <f t="shared" si="64"/>
        <v>70023180</v>
      </c>
      <c r="L156" s="99">
        <f t="shared" si="64"/>
        <v>0</v>
      </c>
      <c r="M156" s="99">
        <f t="shared" si="64"/>
        <v>558000000</v>
      </c>
      <c r="N156" s="99">
        <f t="shared" si="64"/>
        <v>0</v>
      </c>
      <c r="O156" s="213">
        <f t="shared" si="64"/>
        <v>0</v>
      </c>
      <c r="P156" s="136">
        <f t="shared" si="64"/>
        <v>0</v>
      </c>
      <c r="Q156" s="136">
        <f t="shared" si="64"/>
        <v>0</v>
      </c>
      <c r="R156" s="166">
        <f t="shared" si="64"/>
        <v>0</v>
      </c>
      <c r="S156" s="95">
        <f t="shared" si="61"/>
        <v>0</v>
      </c>
      <c r="T156" s="95">
        <f t="shared" si="59"/>
        <v>0</v>
      </c>
    </row>
    <row r="157" spans="1:20" s="82" customFormat="1" ht="13.5" customHeight="1" hidden="1">
      <c r="A157" s="263"/>
      <c r="B157" s="41" t="s">
        <v>120</v>
      </c>
      <c r="C157" s="66"/>
      <c r="D157" s="99">
        <f>D158</f>
        <v>0</v>
      </c>
      <c r="E157" s="99">
        <f aca="true" t="shared" si="65" ref="E157:R157">E158</f>
        <v>0</v>
      </c>
      <c r="F157" s="99">
        <f t="shared" si="65"/>
        <v>0</v>
      </c>
      <c r="G157" s="99">
        <f t="shared" si="65"/>
        <v>0</v>
      </c>
      <c r="H157" s="99">
        <f t="shared" si="65"/>
        <v>0</v>
      </c>
      <c r="I157" s="99">
        <f t="shared" si="65"/>
        <v>0</v>
      </c>
      <c r="J157" s="99">
        <f t="shared" si="65"/>
        <v>0</v>
      </c>
      <c r="K157" s="99">
        <f t="shared" si="65"/>
        <v>0</v>
      </c>
      <c r="L157" s="99">
        <f t="shared" si="65"/>
        <v>0</v>
      </c>
      <c r="M157" s="99">
        <f t="shared" si="65"/>
        <v>0</v>
      </c>
      <c r="N157" s="99">
        <f t="shared" si="65"/>
        <v>0</v>
      </c>
      <c r="O157" s="213">
        <f t="shared" si="65"/>
        <v>0</v>
      </c>
      <c r="P157" s="136">
        <f t="shared" si="65"/>
        <v>0</v>
      </c>
      <c r="Q157" s="136">
        <f t="shared" si="65"/>
        <v>0</v>
      </c>
      <c r="R157" s="166">
        <f t="shared" si="65"/>
        <v>0</v>
      </c>
      <c r="S157" s="95">
        <f t="shared" si="61"/>
        <v>0</v>
      </c>
      <c r="T157" s="95">
        <f t="shared" si="59"/>
        <v>0</v>
      </c>
    </row>
    <row r="158" spans="1:20" s="38" customFormat="1" ht="13.5" customHeight="1" hidden="1">
      <c r="A158" s="264"/>
      <c r="B158" s="41"/>
      <c r="C158" s="125" t="s">
        <v>23</v>
      </c>
      <c r="D158" s="100">
        <f>SUM(E158:R158)</f>
        <v>0</v>
      </c>
      <c r="E158" s="102"/>
      <c r="F158" s="80"/>
      <c r="G158" s="51"/>
      <c r="H158" s="51"/>
      <c r="I158" s="51"/>
      <c r="J158" s="51"/>
      <c r="K158" s="51"/>
      <c r="L158" s="51"/>
      <c r="M158" s="51"/>
      <c r="N158" s="51"/>
      <c r="O158" s="107"/>
      <c r="P158" s="50"/>
      <c r="Q158" s="50"/>
      <c r="R158" s="161"/>
      <c r="S158" s="95">
        <f t="shared" si="61"/>
        <v>0</v>
      </c>
      <c r="T158" s="95">
        <f t="shared" si="59"/>
        <v>0</v>
      </c>
    </row>
    <row r="159" spans="1:20" s="82" customFormat="1" ht="15.75" customHeight="1" hidden="1">
      <c r="A159" s="263"/>
      <c r="B159" s="41" t="s">
        <v>230</v>
      </c>
      <c r="C159" s="66"/>
      <c r="D159" s="99">
        <f>D160+D162+D161</f>
        <v>0</v>
      </c>
      <c r="E159" s="99">
        <f>E160+E162+E161</f>
        <v>0</v>
      </c>
      <c r="F159" s="99">
        <f aca="true" t="shared" si="66" ref="F159:R159">F160+F162+F161</f>
        <v>0</v>
      </c>
      <c r="G159" s="99">
        <f t="shared" si="66"/>
        <v>0</v>
      </c>
      <c r="H159" s="99">
        <f t="shared" si="66"/>
        <v>0</v>
      </c>
      <c r="I159" s="99">
        <f t="shared" si="66"/>
        <v>0</v>
      </c>
      <c r="J159" s="99">
        <f t="shared" si="66"/>
        <v>0</v>
      </c>
      <c r="K159" s="99">
        <f>K160+K162+K161</f>
        <v>0</v>
      </c>
      <c r="L159" s="99">
        <f t="shared" si="66"/>
        <v>0</v>
      </c>
      <c r="M159" s="99">
        <f t="shared" si="66"/>
        <v>0</v>
      </c>
      <c r="N159" s="99">
        <f t="shared" si="66"/>
        <v>0</v>
      </c>
      <c r="O159" s="213">
        <f t="shared" si="66"/>
        <v>0</v>
      </c>
      <c r="P159" s="136">
        <f t="shared" si="66"/>
        <v>0</v>
      </c>
      <c r="Q159" s="136">
        <f t="shared" si="66"/>
        <v>0</v>
      </c>
      <c r="R159" s="166">
        <f t="shared" si="66"/>
        <v>0</v>
      </c>
      <c r="S159" s="95">
        <f t="shared" si="61"/>
        <v>0</v>
      </c>
      <c r="T159" s="95">
        <f t="shared" si="59"/>
        <v>0</v>
      </c>
    </row>
    <row r="160" spans="1:20" s="38" customFormat="1" ht="14.25" customHeight="1" hidden="1">
      <c r="A160" s="264"/>
      <c r="B160" s="41"/>
      <c r="C160" s="125" t="s">
        <v>231</v>
      </c>
      <c r="D160" s="100">
        <f>SUM(E160:R160)</f>
        <v>0</v>
      </c>
      <c r="E160" s="102"/>
      <c r="F160" s="51"/>
      <c r="G160" s="51"/>
      <c r="H160" s="51"/>
      <c r="I160" s="51"/>
      <c r="J160" s="51"/>
      <c r="K160" s="51"/>
      <c r="L160" s="51"/>
      <c r="M160" s="51"/>
      <c r="N160" s="51"/>
      <c r="O160" s="107"/>
      <c r="P160" s="50"/>
      <c r="Q160" s="50"/>
      <c r="R160" s="161"/>
      <c r="S160" s="95">
        <f t="shared" si="61"/>
        <v>0</v>
      </c>
      <c r="T160" s="95">
        <f t="shared" si="59"/>
        <v>0</v>
      </c>
    </row>
    <row r="161" spans="1:20" s="38" customFormat="1" ht="14.25" customHeight="1" hidden="1">
      <c r="A161" s="264"/>
      <c r="B161" s="41"/>
      <c r="C161" s="125" t="s">
        <v>273</v>
      </c>
      <c r="D161" s="100">
        <f>SUM(E161:R161)</f>
        <v>0</v>
      </c>
      <c r="E161" s="102"/>
      <c r="F161" s="51"/>
      <c r="G161" s="51"/>
      <c r="H161" s="51"/>
      <c r="I161" s="51"/>
      <c r="J161" s="51"/>
      <c r="K161" s="51"/>
      <c r="L161" s="51"/>
      <c r="M161" s="51"/>
      <c r="N161" s="51"/>
      <c r="O161" s="107"/>
      <c r="P161" s="50"/>
      <c r="Q161" s="50"/>
      <c r="R161" s="161"/>
      <c r="S161" s="95"/>
      <c r="T161" s="95"/>
    </row>
    <row r="162" spans="1:20" s="38" customFormat="1" ht="14.25" customHeight="1" hidden="1">
      <c r="A162" s="264"/>
      <c r="B162" s="41"/>
      <c r="C162" s="125" t="s">
        <v>262</v>
      </c>
      <c r="D162" s="100">
        <f>SUM(E162:R162)</f>
        <v>0</v>
      </c>
      <c r="E162" s="102"/>
      <c r="F162" s="51"/>
      <c r="G162" s="51"/>
      <c r="H162" s="51"/>
      <c r="I162" s="51"/>
      <c r="J162" s="51"/>
      <c r="K162" s="51"/>
      <c r="L162" s="51"/>
      <c r="M162" s="51"/>
      <c r="N162" s="51"/>
      <c r="O162" s="107"/>
      <c r="P162" s="50"/>
      <c r="Q162" s="50"/>
      <c r="R162" s="161"/>
      <c r="S162" s="95">
        <f t="shared" si="61"/>
        <v>0</v>
      </c>
      <c r="T162" s="95">
        <f t="shared" si="59"/>
        <v>0</v>
      </c>
    </row>
    <row r="163" spans="1:20" s="38" customFormat="1" ht="13.5" customHeight="1" hidden="1">
      <c r="A163" s="264"/>
      <c r="B163" s="41" t="s">
        <v>222</v>
      </c>
      <c r="C163" s="66"/>
      <c r="D163" s="96">
        <f>D164</f>
        <v>0</v>
      </c>
      <c r="E163" s="96">
        <f aca="true" t="shared" si="67" ref="E163:R163">E164</f>
        <v>0</v>
      </c>
      <c r="F163" s="96">
        <f t="shared" si="67"/>
        <v>0</v>
      </c>
      <c r="G163" s="96">
        <f t="shared" si="67"/>
        <v>0</v>
      </c>
      <c r="H163" s="96">
        <f t="shared" si="67"/>
        <v>0</v>
      </c>
      <c r="I163" s="96">
        <f t="shared" si="67"/>
        <v>0</v>
      </c>
      <c r="J163" s="96">
        <f t="shared" si="67"/>
        <v>0</v>
      </c>
      <c r="K163" s="96">
        <f t="shared" si="67"/>
        <v>0</v>
      </c>
      <c r="L163" s="96">
        <f t="shared" si="67"/>
        <v>0</v>
      </c>
      <c r="M163" s="96">
        <f t="shared" si="67"/>
        <v>0</v>
      </c>
      <c r="N163" s="96">
        <f t="shared" si="67"/>
        <v>0</v>
      </c>
      <c r="O163" s="215">
        <f t="shared" si="67"/>
        <v>0</v>
      </c>
      <c r="P163" s="170">
        <f t="shared" si="67"/>
        <v>0</v>
      </c>
      <c r="Q163" s="170">
        <f t="shared" si="67"/>
        <v>0</v>
      </c>
      <c r="R163" s="164">
        <f t="shared" si="67"/>
        <v>0</v>
      </c>
      <c r="S163" s="95"/>
      <c r="T163" s="95">
        <f t="shared" si="59"/>
        <v>0</v>
      </c>
    </row>
    <row r="164" spans="1:20" s="38" customFormat="1" ht="13.5" customHeight="1" hidden="1">
      <c r="A164" s="264"/>
      <c r="B164" s="41"/>
      <c r="C164" s="125" t="s">
        <v>222</v>
      </c>
      <c r="D164" s="100">
        <f>SUM(E164:R164)</f>
        <v>0</v>
      </c>
      <c r="E164" s="102"/>
      <c r="F164" s="51"/>
      <c r="G164" s="51"/>
      <c r="H164" s="51"/>
      <c r="I164" s="51"/>
      <c r="J164" s="51"/>
      <c r="K164" s="51"/>
      <c r="L164" s="51"/>
      <c r="M164" s="51"/>
      <c r="N164" s="51"/>
      <c r="O164" s="107"/>
      <c r="P164" s="50"/>
      <c r="Q164" s="50"/>
      <c r="R164" s="161"/>
      <c r="S164" s="95"/>
      <c r="T164" s="95">
        <f t="shared" si="59"/>
        <v>0</v>
      </c>
    </row>
    <row r="165" spans="1:20" s="82" customFormat="1" ht="15" customHeight="1">
      <c r="A165" s="263"/>
      <c r="B165" s="41" t="s">
        <v>121</v>
      </c>
      <c r="C165" s="66"/>
      <c r="D165" s="99">
        <f>D166</f>
        <v>70023180</v>
      </c>
      <c r="E165" s="99">
        <f aca="true" t="shared" si="68" ref="E165:R165">E166</f>
        <v>0</v>
      </c>
      <c r="F165" s="99">
        <f t="shared" si="68"/>
        <v>0</v>
      </c>
      <c r="G165" s="99">
        <f t="shared" si="68"/>
        <v>0</v>
      </c>
      <c r="H165" s="99">
        <f t="shared" si="68"/>
        <v>0</v>
      </c>
      <c r="I165" s="99">
        <f t="shared" si="68"/>
        <v>0</v>
      </c>
      <c r="J165" s="99">
        <f t="shared" si="68"/>
        <v>0</v>
      </c>
      <c r="K165" s="99">
        <f t="shared" si="68"/>
        <v>70023180</v>
      </c>
      <c r="L165" s="99">
        <f t="shared" si="68"/>
        <v>0</v>
      </c>
      <c r="M165" s="99">
        <f t="shared" si="68"/>
        <v>0</v>
      </c>
      <c r="N165" s="99">
        <f t="shared" si="68"/>
        <v>0</v>
      </c>
      <c r="O165" s="213">
        <f t="shared" si="68"/>
        <v>0</v>
      </c>
      <c r="P165" s="136">
        <f t="shared" si="68"/>
        <v>0</v>
      </c>
      <c r="Q165" s="136">
        <f t="shared" si="68"/>
        <v>0</v>
      </c>
      <c r="R165" s="166">
        <f t="shared" si="68"/>
        <v>0</v>
      </c>
      <c r="S165" s="95">
        <f>D165-SUM(E165:R165)</f>
        <v>0</v>
      </c>
      <c r="T165" s="95">
        <f t="shared" si="59"/>
        <v>0</v>
      </c>
    </row>
    <row r="166" spans="1:20" s="38" customFormat="1" ht="13.5" customHeight="1">
      <c r="A166" s="264"/>
      <c r="B166" s="41"/>
      <c r="C166" s="125" t="s">
        <v>73</v>
      </c>
      <c r="D166" s="100">
        <f>SUM(E166:R166)</f>
        <v>70023180</v>
      </c>
      <c r="E166" s="102"/>
      <c r="F166" s="51"/>
      <c r="G166" s="80"/>
      <c r="H166" s="80"/>
      <c r="I166" s="80"/>
      <c r="J166" s="51"/>
      <c r="K166" s="51">
        <f>'[9]중소기업육성'!$A$17</f>
        <v>70023180</v>
      </c>
      <c r="L166" s="51"/>
      <c r="M166" s="51"/>
      <c r="N166" s="51"/>
      <c r="O166" s="107"/>
      <c r="P166" s="50"/>
      <c r="Q166" s="50"/>
      <c r="R166" s="161"/>
      <c r="S166" s="95">
        <f>D166-SUM(E166:R166)</f>
        <v>0</v>
      </c>
      <c r="T166" s="95">
        <f t="shared" si="59"/>
        <v>0</v>
      </c>
    </row>
    <row r="167" spans="1:20" s="38" customFormat="1" ht="15" customHeight="1" hidden="1">
      <c r="A167" s="264"/>
      <c r="B167" s="41" t="s">
        <v>223</v>
      </c>
      <c r="C167" s="66"/>
      <c r="D167" s="96">
        <f>D168</f>
        <v>0</v>
      </c>
      <c r="E167" s="96">
        <f aca="true" t="shared" si="69" ref="E167:R167">E168</f>
        <v>0</v>
      </c>
      <c r="F167" s="96">
        <f t="shared" si="69"/>
        <v>0</v>
      </c>
      <c r="G167" s="96">
        <f t="shared" si="69"/>
        <v>0</v>
      </c>
      <c r="H167" s="96">
        <f t="shared" si="69"/>
        <v>0</v>
      </c>
      <c r="I167" s="96">
        <f t="shared" si="69"/>
        <v>0</v>
      </c>
      <c r="J167" s="96">
        <f t="shared" si="69"/>
        <v>0</v>
      </c>
      <c r="K167" s="96">
        <f t="shared" si="69"/>
        <v>0</v>
      </c>
      <c r="L167" s="96">
        <f t="shared" si="69"/>
        <v>0</v>
      </c>
      <c r="M167" s="96">
        <f t="shared" si="69"/>
        <v>0</v>
      </c>
      <c r="N167" s="96">
        <f t="shared" si="69"/>
        <v>0</v>
      </c>
      <c r="O167" s="215">
        <f t="shared" si="69"/>
        <v>0</v>
      </c>
      <c r="P167" s="170">
        <f t="shared" si="69"/>
        <v>0</v>
      </c>
      <c r="Q167" s="170">
        <f t="shared" si="69"/>
        <v>0</v>
      </c>
      <c r="R167" s="164">
        <f t="shared" si="69"/>
        <v>0</v>
      </c>
      <c r="S167" s="95"/>
      <c r="T167" s="95">
        <f t="shared" si="59"/>
        <v>0</v>
      </c>
    </row>
    <row r="168" spans="1:20" s="38" customFormat="1" ht="15" customHeight="1" hidden="1">
      <c r="A168" s="264"/>
      <c r="B168" s="41"/>
      <c r="C168" s="125" t="s">
        <v>223</v>
      </c>
      <c r="D168" s="100">
        <f>SUM(E168:R168)</f>
        <v>0</v>
      </c>
      <c r="E168" s="102"/>
      <c r="F168" s="51"/>
      <c r="G168" s="80"/>
      <c r="H168" s="80"/>
      <c r="I168" s="80"/>
      <c r="J168" s="51"/>
      <c r="K168" s="51"/>
      <c r="L168" s="51"/>
      <c r="M168" s="51"/>
      <c r="N168" s="51"/>
      <c r="O168" s="107"/>
      <c r="P168" s="50"/>
      <c r="Q168" s="50"/>
      <c r="R168" s="161"/>
      <c r="S168" s="95"/>
      <c r="T168" s="95">
        <f t="shared" si="59"/>
        <v>0</v>
      </c>
    </row>
    <row r="169" spans="1:20" s="82" customFormat="1" ht="15.75" customHeight="1">
      <c r="A169" s="263"/>
      <c r="B169" s="41" t="s">
        <v>182</v>
      </c>
      <c r="C169" s="66"/>
      <c r="D169" s="99">
        <f>D170</f>
        <v>558000000</v>
      </c>
      <c r="E169" s="99">
        <f aca="true" t="shared" si="70" ref="E169:R169">E170</f>
        <v>0</v>
      </c>
      <c r="F169" s="99">
        <f t="shared" si="70"/>
        <v>0</v>
      </c>
      <c r="G169" s="99">
        <f t="shared" si="70"/>
        <v>0</v>
      </c>
      <c r="H169" s="99">
        <f t="shared" si="70"/>
        <v>0</v>
      </c>
      <c r="I169" s="99">
        <f t="shared" si="70"/>
        <v>0</v>
      </c>
      <c r="J169" s="99">
        <f t="shared" si="70"/>
        <v>0</v>
      </c>
      <c r="K169" s="99">
        <f t="shared" si="70"/>
        <v>0</v>
      </c>
      <c r="L169" s="99">
        <f t="shared" si="70"/>
        <v>0</v>
      </c>
      <c r="M169" s="99">
        <f t="shared" si="70"/>
        <v>558000000</v>
      </c>
      <c r="N169" s="99">
        <f t="shared" si="70"/>
        <v>0</v>
      </c>
      <c r="O169" s="213">
        <f t="shared" si="70"/>
        <v>0</v>
      </c>
      <c r="P169" s="136">
        <f t="shared" si="70"/>
        <v>0</v>
      </c>
      <c r="Q169" s="136">
        <f t="shared" si="70"/>
        <v>0</v>
      </c>
      <c r="R169" s="166">
        <f t="shared" si="70"/>
        <v>0</v>
      </c>
      <c r="S169" s="95">
        <f aca="true" t="shared" si="71" ref="S169:S205">D169-SUM(E169:R169)</f>
        <v>0</v>
      </c>
      <c r="T169" s="95">
        <f t="shared" si="59"/>
        <v>0</v>
      </c>
    </row>
    <row r="170" spans="1:20" s="38" customFormat="1" ht="13.5" customHeight="1">
      <c r="A170" s="264"/>
      <c r="B170" s="41"/>
      <c r="C170" s="125" t="s">
        <v>182</v>
      </c>
      <c r="D170" s="100">
        <f>SUM(E170:R170)</f>
        <v>558000000</v>
      </c>
      <c r="E170" s="102"/>
      <c r="F170" s="51"/>
      <c r="G170" s="80"/>
      <c r="H170" s="80"/>
      <c r="I170" s="80"/>
      <c r="J170" s="80"/>
      <c r="K170" s="80"/>
      <c r="L170" s="80"/>
      <c r="M170" s="80">
        <f>'[11]수질개선'!$A$37</f>
        <v>558000000</v>
      </c>
      <c r="N170" s="80"/>
      <c r="O170" s="216"/>
      <c r="P170" s="81"/>
      <c r="Q170" s="81"/>
      <c r="R170" s="161"/>
      <c r="S170" s="95">
        <f t="shared" si="71"/>
        <v>0</v>
      </c>
      <c r="T170" s="95">
        <f t="shared" si="59"/>
        <v>0</v>
      </c>
    </row>
    <row r="171" spans="1:20" s="82" customFormat="1" ht="15.75" customHeight="1" hidden="1">
      <c r="A171" s="263"/>
      <c r="B171" s="41" t="s">
        <v>122</v>
      </c>
      <c r="C171" s="66"/>
      <c r="D171" s="99">
        <f>D172+D173</f>
        <v>0</v>
      </c>
      <c r="E171" s="99">
        <f aca="true" t="shared" si="72" ref="E171:R171">E172+E173</f>
        <v>0</v>
      </c>
      <c r="F171" s="99">
        <f t="shared" si="72"/>
        <v>0</v>
      </c>
      <c r="G171" s="99">
        <f t="shared" si="72"/>
        <v>0</v>
      </c>
      <c r="H171" s="99">
        <f t="shared" si="72"/>
        <v>0</v>
      </c>
      <c r="I171" s="99">
        <f t="shared" si="72"/>
        <v>0</v>
      </c>
      <c r="J171" s="99">
        <f t="shared" si="72"/>
        <v>0</v>
      </c>
      <c r="K171" s="99">
        <f t="shared" si="72"/>
        <v>0</v>
      </c>
      <c r="L171" s="99">
        <f t="shared" si="72"/>
        <v>0</v>
      </c>
      <c r="M171" s="99">
        <f t="shared" si="72"/>
        <v>0</v>
      </c>
      <c r="N171" s="99">
        <f t="shared" si="72"/>
        <v>0</v>
      </c>
      <c r="O171" s="213">
        <f t="shared" si="72"/>
        <v>0</v>
      </c>
      <c r="P171" s="136">
        <f t="shared" si="72"/>
        <v>0</v>
      </c>
      <c r="Q171" s="136">
        <f t="shared" si="72"/>
        <v>0</v>
      </c>
      <c r="R171" s="166">
        <f t="shared" si="72"/>
        <v>0</v>
      </c>
      <c r="S171" s="95">
        <f t="shared" si="71"/>
        <v>0</v>
      </c>
      <c r="T171" s="95">
        <f t="shared" si="59"/>
        <v>0</v>
      </c>
    </row>
    <row r="172" spans="1:20" s="38" customFormat="1" ht="13.5" customHeight="1" hidden="1">
      <c r="A172" s="264"/>
      <c r="B172" s="41"/>
      <c r="C172" s="125" t="s">
        <v>277</v>
      </c>
      <c r="D172" s="100">
        <f>SUM(E172:R172)</f>
        <v>0</v>
      </c>
      <c r="E172" s="102">
        <f>SUM(F172:K172)</f>
        <v>0</v>
      </c>
      <c r="F172" s="51"/>
      <c r="G172" s="51"/>
      <c r="H172" s="51"/>
      <c r="I172" s="51"/>
      <c r="J172" s="51"/>
      <c r="K172" s="51"/>
      <c r="L172" s="51"/>
      <c r="M172" s="51"/>
      <c r="N172" s="51"/>
      <c r="O172" s="107"/>
      <c r="P172" s="50"/>
      <c r="Q172" s="50"/>
      <c r="R172" s="161"/>
      <c r="S172" s="95">
        <f t="shared" si="71"/>
        <v>0</v>
      </c>
      <c r="T172" s="95">
        <f t="shared" si="59"/>
        <v>0</v>
      </c>
    </row>
    <row r="173" spans="1:20" s="38" customFormat="1" ht="13.5" customHeight="1" hidden="1">
      <c r="A173" s="264"/>
      <c r="B173" s="41"/>
      <c r="C173" s="125" t="s">
        <v>263</v>
      </c>
      <c r="D173" s="100">
        <f>SUM(E173:R173)</f>
        <v>0</v>
      </c>
      <c r="E173" s="102"/>
      <c r="F173" s="51"/>
      <c r="G173" s="51"/>
      <c r="H173" s="51"/>
      <c r="I173" s="51"/>
      <c r="J173" s="51"/>
      <c r="K173" s="51"/>
      <c r="L173" s="51"/>
      <c r="M173" s="51"/>
      <c r="N173" s="51"/>
      <c r="O173" s="107"/>
      <c r="P173" s="50"/>
      <c r="Q173" s="50"/>
      <c r="R173" s="161"/>
      <c r="S173" s="95">
        <f t="shared" si="71"/>
        <v>0</v>
      </c>
      <c r="T173" s="95">
        <f t="shared" si="59"/>
        <v>0</v>
      </c>
    </row>
    <row r="174" spans="1:20" s="38" customFormat="1" ht="13.5" customHeight="1">
      <c r="A174" s="264"/>
      <c r="B174" s="41"/>
      <c r="C174" s="125"/>
      <c r="D174" s="102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107"/>
      <c r="P174" s="50"/>
      <c r="Q174" s="50"/>
      <c r="R174" s="161"/>
      <c r="S174" s="95">
        <f t="shared" si="71"/>
        <v>0</v>
      </c>
      <c r="T174" s="95">
        <f t="shared" si="59"/>
        <v>0</v>
      </c>
    </row>
    <row r="175" spans="1:20" s="82" customFormat="1" ht="13.5" customHeight="1">
      <c r="A175" s="263" t="s">
        <v>30</v>
      </c>
      <c r="B175" s="41"/>
      <c r="C175" s="66"/>
      <c r="D175" s="99">
        <f aca="true" t="shared" si="73" ref="D175:I175">D176+D178+D184+D190+D198+D196+D201</f>
        <v>49417147</v>
      </c>
      <c r="E175" s="99">
        <f t="shared" si="73"/>
        <v>0</v>
      </c>
      <c r="F175" s="99">
        <f t="shared" si="73"/>
        <v>1184235</v>
      </c>
      <c r="G175" s="99">
        <f t="shared" si="73"/>
        <v>338920</v>
      </c>
      <c r="H175" s="99">
        <f t="shared" si="73"/>
        <v>0</v>
      </c>
      <c r="I175" s="99">
        <f t="shared" si="73"/>
        <v>0</v>
      </c>
      <c r="J175" s="99">
        <f aca="true" t="shared" si="74" ref="J175:Q175">J176+J178+J184+J190+J198+J196</f>
        <v>6282808</v>
      </c>
      <c r="K175" s="99">
        <f t="shared" si="74"/>
        <v>0</v>
      </c>
      <c r="L175" s="99">
        <f t="shared" si="74"/>
        <v>40241065</v>
      </c>
      <c r="M175" s="99">
        <f t="shared" si="74"/>
        <v>862302</v>
      </c>
      <c r="N175" s="99">
        <f t="shared" si="74"/>
        <v>0</v>
      </c>
      <c r="O175" s="213">
        <f t="shared" si="74"/>
        <v>507817</v>
      </c>
      <c r="P175" s="136">
        <f t="shared" si="74"/>
        <v>0</v>
      </c>
      <c r="Q175" s="136">
        <f t="shared" si="74"/>
        <v>0</v>
      </c>
      <c r="R175" s="166">
        <f>R176+R178+R184+R190+R198+R196</f>
        <v>0</v>
      </c>
      <c r="S175" s="95">
        <f t="shared" si="71"/>
        <v>0</v>
      </c>
      <c r="T175" s="95">
        <f t="shared" si="59"/>
        <v>0</v>
      </c>
    </row>
    <row r="176" spans="1:20" s="82" customFormat="1" ht="13.5" customHeight="1" hidden="1">
      <c r="A176" s="263"/>
      <c r="B176" s="41" t="s">
        <v>123</v>
      </c>
      <c r="C176" s="66"/>
      <c r="D176" s="99">
        <f>D177</f>
        <v>0</v>
      </c>
      <c r="E176" s="99">
        <f aca="true" t="shared" si="75" ref="E176:R176">E177</f>
        <v>0</v>
      </c>
      <c r="F176" s="99">
        <f t="shared" si="75"/>
        <v>0</v>
      </c>
      <c r="G176" s="99">
        <f t="shared" si="75"/>
        <v>0</v>
      </c>
      <c r="H176" s="99">
        <f t="shared" si="75"/>
        <v>0</v>
      </c>
      <c r="I176" s="99">
        <f t="shared" si="75"/>
        <v>0</v>
      </c>
      <c r="J176" s="99">
        <f t="shared" si="75"/>
        <v>0</v>
      </c>
      <c r="K176" s="99">
        <f t="shared" si="75"/>
        <v>0</v>
      </c>
      <c r="L176" s="99">
        <f t="shared" si="75"/>
        <v>0</v>
      </c>
      <c r="M176" s="99">
        <f t="shared" si="75"/>
        <v>0</v>
      </c>
      <c r="N176" s="99">
        <f t="shared" si="75"/>
        <v>0</v>
      </c>
      <c r="O176" s="213">
        <f t="shared" si="75"/>
        <v>0</v>
      </c>
      <c r="P176" s="136">
        <f t="shared" si="75"/>
        <v>0</v>
      </c>
      <c r="Q176" s="136">
        <f t="shared" si="75"/>
        <v>0</v>
      </c>
      <c r="R176" s="166">
        <f t="shared" si="75"/>
        <v>0</v>
      </c>
      <c r="S176" s="95">
        <f t="shared" si="71"/>
        <v>0</v>
      </c>
      <c r="T176" s="95">
        <f t="shared" si="59"/>
        <v>0</v>
      </c>
    </row>
    <row r="177" spans="1:20" s="38" customFormat="1" ht="13.5" customHeight="1" hidden="1">
      <c r="A177" s="264"/>
      <c r="B177" s="137"/>
      <c r="C177" s="125" t="s">
        <v>96</v>
      </c>
      <c r="D177" s="100">
        <f>SUM(E177:R177)</f>
        <v>0</v>
      </c>
      <c r="E177" s="102"/>
      <c r="F177" s="51"/>
      <c r="G177" s="51"/>
      <c r="H177" s="51"/>
      <c r="I177" s="51"/>
      <c r="J177" s="80"/>
      <c r="K177" s="80"/>
      <c r="L177" s="80"/>
      <c r="M177" s="80"/>
      <c r="N177" s="80"/>
      <c r="O177" s="216"/>
      <c r="P177" s="81"/>
      <c r="Q177" s="81"/>
      <c r="R177" s="161"/>
      <c r="S177" s="95">
        <f t="shared" si="71"/>
        <v>0</v>
      </c>
      <c r="T177" s="95">
        <f t="shared" si="59"/>
        <v>0</v>
      </c>
    </row>
    <row r="178" spans="1:20" s="82" customFormat="1" ht="12">
      <c r="A178" s="263"/>
      <c r="B178" s="41" t="s">
        <v>124</v>
      </c>
      <c r="C178" s="66"/>
      <c r="D178" s="99">
        <f>SUM(D179:D183)</f>
        <v>1397339</v>
      </c>
      <c r="E178" s="99">
        <f aca="true" t="shared" si="76" ref="E178:R178">SUM(E179:E183)</f>
        <v>0</v>
      </c>
      <c r="F178" s="99">
        <f t="shared" si="76"/>
        <v>0</v>
      </c>
      <c r="G178" s="99">
        <f t="shared" si="76"/>
        <v>338600</v>
      </c>
      <c r="H178" s="99">
        <f t="shared" si="76"/>
        <v>0</v>
      </c>
      <c r="I178" s="99">
        <f t="shared" si="76"/>
        <v>0</v>
      </c>
      <c r="J178" s="99">
        <f t="shared" si="76"/>
        <v>0</v>
      </c>
      <c r="K178" s="99">
        <f t="shared" si="76"/>
        <v>0</v>
      </c>
      <c r="L178" s="99">
        <f t="shared" si="76"/>
        <v>692175</v>
      </c>
      <c r="M178" s="99">
        <f t="shared" si="76"/>
        <v>366564</v>
      </c>
      <c r="N178" s="99">
        <f t="shared" si="76"/>
        <v>0</v>
      </c>
      <c r="O178" s="213">
        <f t="shared" si="76"/>
        <v>0</v>
      </c>
      <c r="P178" s="136">
        <f t="shared" si="76"/>
        <v>0</v>
      </c>
      <c r="Q178" s="136">
        <f t="shared" si="76"/>
        <v>0</v>
      </c>
      <c r="R178" s="166">
        <f t="shared" si="76"/>
        <v>0</v>
      </c>
      <c r="S178" s="95">
        <f t="shared" si="71"/>
        <v>0</v>
      </c>
      <c r="T178" s="95">
        <f t="shared" si="59"/>
        <v>0</v>
      </c>
    </row>
    <row r="179" spans="1:20" s="38" customFormat="1" ht="12" hidden="1">
      <c r="A179" s="264"/>
      <c r="B179" s="41"/>
      <c r="C179" s="125" t="s">
        <v>198</v>
      </c>
      <c r="D179" s="100">
        <f>SUM(E179:R179)</f>
        <v>0</v>
      </c>
      <c r="E179" s="102"/>
      <c r="F179" s="51"/>
      <c r="G179" s="51"/>
      <c r="H179" s="51"/>
      <c r="I179" s="51"/>
      <c r="J179" s="51"/>
      <c r="K179" s="51"/>
      <c r="L179" s="51"/>
      <c r="M179" s="51"/>
      <c r="N179" s="51"/>
      <c r="O179" s="107"/>
      <c r="P179" s="50"/>
      <c r="Q179" s="50"/>
      <c r="R179" s="161"/>
      <c r="S179" s="95">
        <f t="shared" si="71"/>
        <v>0</v>
      </c>
      <c r="T179" s="95">
        <f t="shared" si="59"/>
        <v>0</v>
      </c>
    </row>
    <row r="180" spans="1:20" s="38" customFormat="1" ht="12">
      <c r="A180" s="264"/>
      <c r="B180" s="41"/>
      <c r="C180" s="125" t="s">
        <v>24</v>
      </c>
      <c r="D180" s="100">
        <f>SUM(E180:R180)</f>
        <v>0</v>
      </c>
      <c r="E180" s="102"/>
      <c r="F180" s="51"/>
      <c r="G180" s="51"/>
      <c r="H180" s="51"/>
      <c r="I180" s="51"/>
      <c r="J180" s="51"/>
      <c r="K180" s="51"/>
      <c r="L180" s="51"/>
      <c r="M180" s="51"/>
      <c r="N180" s="51"/>
      <c r="O180" s="107"/>
      <c r="P180" s="50"/>
      <c r="Q180" s="50"/>
      <c r="R180" s="161"/>
      <c r="S180" s="95">
        <f t="shared" si="71"/>
        <v>0</v>
      </c>
      <c r="T180" s="95">
        <f t="shared" si="59"/>
        <v>0</v>
      </c>
    </row>
    <row r="181" spans="1:20" s="38" customFormat="1" ht="12" hidden="1">
      <c r="A181" s="264"/>
      <c r="B181" s="41"/>
      <c r="C181" s="125" t="s">
        <v>25</v>
      </c>
      <c r="D181" s="100">
        <f>SUM(E181:R181)</f>
        <v>0</v>
      </c>
      <c r="E181" s="102"/>
      <c r="F181" s="51"/>
      <c r="G181" s="51"/>
      <c r="H181" s="51"/>
      <c r="I181" s="51"/>
      <c r="J181" s="51"/>
      <c r="K181" s="51"/>
      <c r="L181" s="51"/>
      <c r="M181" s="51"/>
      <c r="N181" s="51"/>
      <c r="O181" s="107"/>
      <c r="P181" s="50"/>
      <c r="Q181" s="50"/>
      <c r="R181" s="161"/>
      <c r="S181" s="95">
        <f t="shared" si="71"/>
        <v>0</v>
      </c>
      <c r="T181" s="95">
        <f t="shared" si="59"/>
        <v>0</v>
      </c>
    </row>
    <row r="182" spans="1:20" s="38" customFormat="1" ht="12">
      <c r="A182" s="264"/>
      <c r="B182" s="41"/>
      <c r="C182" s="125" t="s">
        <v>197</v>
      </c>
      <c r="D182" s="100">
        <f>SUM(E182:R182)</f>
        <v>356598</v>
      </c>
      <c r="E182" s="102"/>
      <c r="F182" s="51"/>
      <c r="G182" s="51"/>
      <c r="H182" s="51"/>
      <c r="I182" s="51"/>
      <c r="J182" s="51"/>
      <c r="K182" s="51"/>
      <c r="L182" s="51"/>
      <c r="M182" s="51">
        <v>356598</v>
      </c>
      <c r="N182" s="51"/>
      <c r="O182" s="107"/>
      <c r="P182" s="50"/>
      <c r="Q182" s="50"/>
      <c r="R182" s="161"/>
      <c r="S182" s="95">
        <f t="shared" si="71"/>
        <v>0</v>
      </c>
      <c r="T182" s="95">
        <f t="shared" si="59"/>
        <v>0</v>
      </c>
    </row>
    <row r="183" spans="1:20" s="38" customFormat="1" ht="13.5" customHeight="1">
      <c r="A183" s="264"/>
      <c r="B183" s="137"/>
      <c r="C183" s="125" t="s">
        <v>66</v>
      </c>
      <c r="D183" s="100">
        <f>SUM(E183:R183)</f>
        <v>1040741</v>
      </c>
      <c r="E183" s="102"/>
      <c r="F183" s="51"/>
      <c r="G183" s="51">
        <f>'[17]감가상각 및 무형자산 상각'!$J$48</f>
        <v>338600</v>
      </c>
      <c r="H183" s="51"/>
      <c r="I183" s="51"/>
      <c r="J183" s="51"/>
      <c r="K183" s="51"/>
      <c r="L183" s="51">
        <v>692175</v>
      </c>
      <c r="M183" s="51">
        <v>9966</v>
      </c>
      <c r="N183" s="51"/>
      <c r="O183" s="107"/>
      <c r="P183" s="50"/>
      <c r="Q183" s="50"/>
      <c r="R183" s="161"/>
      <c r="S183" s="95">
        <f t="shared" si="71"/>
        <v>0</v>
      </c>
      <c r="T183" s="95">
        <f t="shared" si="59"/>
        <v>0</v>
      </c>
    </row>
    <row r="184" spans="1:20" s="82" customFormat="1" ht="12">
      <c r="A184" s="263"/>
      <c r="B184" s="41" t="s">
        <v>125</v>
      </c>
      <c r="C184" s="66"/>
      <c r="D184" s="99">
        <f>SUM(D185:D189)</f>
        <v>5728039</v>
      </c>
      <c r="E184" s="99">
        <f aca="true" t="shared" si="77" ref="E184:R184">SUM(E185:E189)</f>
        <v>0</v>
      </c>
      <c r="F184" s="99">
        <f t="shared" si="77"/>
        <v>0</v>
      </c>
      <c r="G184" s="99">
        <f t="shared" si="77"/>
        <v>0</v>
      </c>
      <c r="H184" s="99">
        <f t="shared" si="77"/>
        <v>0</v>
      </c>
      <c r="I184" s="99">
        <f t="shared" si="77"/>
        <v>0</v>
      </c>
      <c r="J184" s="99">
        <f t="shared" si="77"/>
        <v>5728039</v>
      </c>
      <c r="K184" s="99">
        <f>SUM(K185:K189)</f>
        <v>0</v>
      </c>
      <c r="L184" s="99">
        <f t="shared" si="77"/>
        <v>0</v>
      </c>
      <c r="M184" s="99">
        <f t="shared" si="77"/>
        <v>0</v>
      </c>
      <c r="N184" s="99">
        <f t="shared" si="77"/>
        <v>0</v>
      </c>
      <c r="O184" s="213">
        <f t="shared" si="77"/>
        <v>0</v>
      </c>
      <c r="P184" s="165">
        <f t="shared" si="77"/>
        <v>0</v>
      </c>
      <c r="Q184" s="99">
        <f t="shared" si="77"/>
        <v>0</v>
      </c>
      <c r="R184" s="99">
        <f t="shared" si="77"/>
        <v>0</v>
      </c>
      <c r="S184" s="95">
        <f t="shared" si="71"/>
        <v>0</v>
      </c>
      <c r="T184" s="95">
        <f t="shared" si="59"/>
        <v>0</v>
      </c>
    </row>
    <row r="185" spans="1:20" s="38" customFormat="1" ht="12" hidden="1">
      <c r="A185" s="264"/>
      <c r="B185" s="41"/>
      <c r="C185" s="125" t="s">
        <v>289</v>
      </c>
      <c r="D185" s="100">
        <f>SUM(E185:R185)</f>
        <v>0</v>
      </c>
      <c r="E185" s="102"/>
      <c r="F185" s="51"/>
      <c r="G185" s="51"/>
      <c r="H185" s="51"/>
      <c r="I185" s="51"/>
      <c r="J185" s="51"/>
      <c r="K185" s="51"/>
      <c r="L185" s="51"/>
      <c r="M185" s="51"/>
      <c r="N185" s="51"/>
      <c r="O185" s="107"/>
      <c r="P185" s="50"/>
      <c r="Q185" s="50"/>
      <c r="R185" s="161"/>
      <c r="S185" s="95">
        <f t="shared" si="71"/>
        <v>0</v>
      </c>
      <c r="T185" s="95">
        <f t="shared" si="59"/>
        <v>0</v>
      </c>
    </row>
    <row r="186" spans="1:20" s="38" customFormat="1" ht="12" hidden="1">
      <c r="A186" s="264"/>
      <c r="B186" s="41"/>
      <c r="C186" s="125" t="s">
        <v>290</v>
      </c>
      <c r="D186" s="100">
        <f>SUM(E186:R186)</f>
        <v>0</v>
      </c>
      <c r="E186" s="102"/>
      <c r="F186" s="51"/>
      <c r="G186" s="51"/>
      <c r="H186" s="51"/>
      <c r="I186" s="51"/>
      <c r="J186" s="51"/>
      <c r="K186" s="51"/>
      <c r="L186" s="51"/>
      <c r="M186" s="51"/>
      <c r="N186" s="51"/>
      <c r="O186" s="107"/>
      <c r="P186" s="50"/>
      <c r="Q186" s="50"/>
      <c r="R186" s="161"/>
      <c r="S186" s="95"/>
      <c r="T186" s="95">
        <f t="shared" si="59"/>
        <v>0</v>
      </c>
    </row>
    <row r="187" spans="1:20" s="38" customFormat="1" ht="12">
      <c r="A187" s="264"/>
      <c r="B187" s="41"/>
      <c r="C187" s="125" t="s">
        <v>365</v>
      </c>
      <c r="D187" s="100">
        <f>SUM(E187:R187)</f>
        <v>5728039</v>
      </c>
      <c r="E187" s="102"/>
      <c r="F187" s="51"/>
      <c r="G187" s="51"/>
      <c r="H187" s="51"/>
      <c r="I187" s="51"/>
      <c r="J187" s="51">
        <f>'[17]감가상각 및 무형자산 상각'!$J$38</f>
        <v>5728039</v>
      </c>
      <c r="K187" s="51"/>
      <c r="L187" s="51"/>
      <c r="M187" s="51"/>
      <c r="N187" s="51"/>
      <c r="O187" s="107"/>
      <c r="P187" s="50"/>
      <c r="Q187" s="50"/>
      <c r="R187" s="161"/>
      <c r="S187" s="95"/>
      <c r="T187" s="95">
        <f t="shared" si="59"/>
        <v>0</v>
      </c>
    </row>
    <row r="188" spans="1:20" s="38" customFormat="1" ht="12" hidden="1">
      <c r="A188" s="264"/>
      <c r="B188" s="41"/>
      <c r="C188" s="125" t="s">
        <v>361</v>
      </c>
      <c r="D188" s="100">
        <f>SUM(E188:R188)</f>
        <v>0</v>
      </c>
      <c r="E188" s="102"/>
      <c r="F188" s="51"/>
      <c r="G188" s="51"/>
      <c r="H188" s="51"/>
      <c r="I188" s="51"/>
      <c r="J188" s="51"/>
      <c r="K188" s="51"/>
      <c r="L188" s="51"/>
      <c r="M188" s="51"/>
      <c r="N188" s="51"/>
      <c r="O188" s="107"/>
      <c r="P188" s="50"/>
      <c r="Q188" s="50"/>
      <c r="R188" s="161"/>
      <c r="S188" s="95"/>
      <c r="T188" s="95">
        <f t="shared" si="59"/>
        <v>0</v>
      </c>
    </row>
    <row r="189" spans="1:20" s="38" customFormat="1" ht="12" hidden="1">
      <c r="A189" s="264"/>
      <c r="B189" s="41"/>
      <c r="C189" s="125" t="s">
        <v>199</v>
      </c>
      <c r="D189" s="100">
        <f>SUM(E189:R189)</f>
        <v>0</v>
      </c>
      <c r="E189" s="102"/>
      <c r="F189" s="51"/>
      <c r="G189" s="51"/>
      <c r="H189" s="51"/>
      <c r="I189" s="51"/>
      <c r="J189" s="80"/>
      <c r="K189" s="80"/>
      <c r="L189" s="80"/>
      <c r="M189" s="80"/>
      <c r="N189" s="80"/>
      <c r="O189" s="216"/>
      <c r="P189" s="81"/>
      <c r="Q189" s="81"/>
      <c r="R189" s="161"/>
      <c r="S189" s="95">
        <f t="shared" si="71"/>
        <v>0</v>
      </c>
      <c r="T189" s="95">
        <f t="shared" si="59"/>
        <v>0</v>
      </c>
    </row>
    <row r="190" spans="1:20" s="82" customFormat="1" ht="12">
      <c r="A190" s="263"/>
      <c r="B190" s="41" t="s">
        <v>183</v>
      </c>
      <c r="C190" s="66"/>
      <c r="D190" s="99">
        <f>SUM(D191:D195)</f>
        <v>40599397</v>
      </c>
      <c r="E190" s="99">
        <f aca="true" t="shared" si="78" ref="E190:R190">SUM(E191:E195)</f>
        <v>0</v>
      </c>
      <c r="F190" s="99">
        <f t="shared" si="78"/>
        <v>0</v>
      </c>
      <c r="G190" s="99">
        <f t="shared" si="78"/>
        <v>0</v>
      </c>
      <c r="H190" s="99">
        <f t="shared" si="78"/>
        <v>0</v>
      </c>
      <c r="I190" s="99">
        <f t="shared" si="78"/>
        <v>0</v>
      </c>
      <c r="J190" s="99">
        <f t="shared" si="78"/>
        <v>554769</v>
      </c>
      <c r="K190" s="99">
        <f t="shared" si="78"/>
        <v>0</v>
      </c>
      <c r="L190" s="99">
        <f t="shared" si="78"/>
        <v>39548890</v>
      </c>
      <c r="M190" s="99">
        <f t="shared" si="78"/>
        <v>495738</v>
      </c>
      <c r="N190" s="99">
        <f t="shared" si="78"/>
        <v>0</v>
      </c>
      <c r="O190" s="213">
        <f t="shared" si="78"/>
        <v>0</v>
      </c>
      <c r="P190" s="165">
        <f t="shared" si="78"/>
        <v>0</v>
      </c>
      <c r="Q190" s="99">
        <f t="shared" si="78"/>
        <v>0</v>
      </c>
      <c r="R190" s="99">
        <f t="shared" si="78"/>
        <v>0</v>
      </c>
      <c r="S190" s="95">
        <f t="shared" si="71"/>
        <v>0</v>
      </c>
      <c r="T190" s="95">
        <f t="shared" si="59"/>
        <v>0</v>
      </c>
    </row>
    <row r="191" spans="1:20" s="38" customFormat="1" ht="12" hidden="1">
      <c r="A191" s="264"/>
      <c r="B191" s="41"/>
      <c r="C191" s="125" t="s">
        <v>313</v>
      </c>
      <c r="D191" s="100">
        <f>SUM(E191:R191)</f>
        <v>0</v>
      </c>
      <c r="E191" s="102"/>
      <c r="F191" s="51"/>
      <c r="G191" s="51"/>
      <c r="H191" s="51"/>
      <c r="I191" s="51"/>
      <c r="J191" s="80"/>
      <c r="K191" s="80"/>
      <c r="L191" s="80"/>
      <c r="M191" s="80"/>
      <c r="N191" s="80"/>
      <c r="O191" s="216"/>
      <c r="P191" s="81"/>
      <c r="Q191" s="81"/>
      <c r="R191" s="161"/>
      <c r="S191" s="95">
        <f t="shared" si="71"/>
        <v>0</v>
      </c>
      <c r="T191" s="95">
        <f t="shared" si="59"/>
        <v>0</v>
      </c>
    </row>
    <row r="192" spans="1:20" s="38" customFormat="1" ht="12" hidden="1">
      <c r="A192" s="264"/>
      <c r="B192" s="41"/>
      <c r="C192" s="125" t="s">
        <v>314</v>
      </c>
      <c r="D192" s="100">
        <f>SUM(E192:R192)</f>
        <v>0</v>
      </c>
      <c r="E192" s="102"/>
      <c r="F192" s="51"/>
      <c r="G192" s="51"/>
      <c r="H192" s="51"/>
      <c r="I192" s="51"/>
      <c r="J192" s="80"/>
      <c r="K192" s="80"/>
      <c r="L192" s="80"/>
      <c r="M192" s="80"/>
      <c r="N192" s="80"/>
      <c r="O192" s="216"/>
      <c r="P192" s="81"/>
      <c r="Q192" s="81"/>
      <c r="R192" s="161"/>
      <c r="S192" s="95"/>
      <c r="T192" s="95">
        <f t="shared" si="59"/>
        <v>0</v>
      </c>
    </row>
    <row r="193" spans="1:20" s="38" customFormat="1" ht="12">
      <c r="A193" s="264"/>
      <c r="B193" s="41"/>
      <c r="C193" s="125" t="s">
        <v>315</v>
      </c>
      <c r="D193" s="100">
        <f>SUM(E193:R193)</f>
        <v>40272730</v>
      </c>
      <c r="E193" s="102"/>
      <c r="F193" s="51"/>
      <c r="G193" s="51"/>
      <c r="H193" s="51"/>
      <c r="I193" s="51"/>
      <c r="J193" s="80">
        <f>'[17]감가상각 및 무형자산 상각'!$J$40</f>
        <v>228102</v>
      </c>
      <c r="K193" s="80"/>
      <c r="L193" s="80">
        <v>39548890</v>
      </c>
      <c r="M193" s="80">
        <f>'[17]감가상각 및 무형자산 상각'!$J$43</f>
        <v>495738</v>
      </c>
      <c r="N193" s="80"/>
      <c r="O193" s="216"/>
      <c r="P193" s="81"/>
      <c r="Q193" s="81"/>
      <c r="R193" s="161"/>
      <c r="S193" s="95"/>
      <c r="T193" s="95">
        <f t="shared" si="59"/>
        <v>0</v>
      </c>
    </row>
    <row r="194" spans="1:20" s="38" customFormat="1" ht="12">
      <c r="A194" s="264"/>
      <c r="B194" s="41"/>
      <c r="C194" s="125" t="s">
        <v>366</v>
      </c>
      <c r="D194" s="100">
        <f>SUM(E194:R194)</f>
        <v>326667</v>
      </c>
      <c r="E194" s="102"/>
      <c r="F194" s="51"/>
      <c r="G194" s="51"/>
      <c r="H194" s="51">
        <v>0</v>
      </c>
      <c r="I194" s="51"/>
      <c r="J194" s="80">
        <v>326667</v>
      </c>
      <c r="K194" s="80"/>
      <c r="L194" s="80"/>
      <c r="M194" s="80"/>
      <c r="N194" s="80"/>
      <c r="O194" s="216"/>
      <c r="P194" s="81"/>
      <c r="Q194" s="81"/>
      <c r="R194" s="161"/>
      <c r="S194" s="95"/>
      <c r="T194" s="95">
        <f t="shared" si="59"/>
        <v>0</v>
      </c>
    </row>
    <row r="195" spans="1:20" s="38" customFormat="1" ht="12" hidden="1">
      <c r="A195" s="264"/>
      <c r="B195" s="41"/>
      <c r="C195" s="125" t="s">
        <v>316</v>
      </c>
      <c r="D195" s="100">
        <f>SUM(E195:R195)</f>
        <v>0</v>
      </c>
      <c r="E195" s="102"/>
      <c r="F195" s="51"/>
      <c r="G195" s="51"/>
      <c r="H195" s="51"/>
      <c r="I195" s="51"/>
      <c r="J195" s="80"/>
      <c r="K195" s="80"/>
      <c r="L195" s="80"/>
      <c r="M195" s="80"/>
      <c r="N195" s="80"/>
      <c r="O195" s="216"/>
      <c r="P195" s="81"/>
      <c r="Q195" s="81"/>
      <c r="R195" s="161"/>
      <c r="S195" s="95">
        <f t="shared" si="71"/>
        <v>0</v>
      </c>
      <c r="T195" s="95">
        <f t="shared" si="59"/>
        <v>0</v>
      </c>
    </row>
    <row r="196" spans="1:20" s="82" customFormat="1" ht="12" hidden="1">
      <c r="A196" s="263"/>
      <c r="B196" s="41" t="s">
        <v>126</v>
      </c>
      <c r="C196" s="66"/>
      <c r="D196" s="99">
        <f>D197</f>
        <v>0</v>
      </c>
      <c r="E196" s="99">
        <f aca="true" t="shared" si="79" ref="E196:S196">E197</f>
        <v>0</v>
      </c>
      <c r="F196" s="99">
        <f t="shared" si="79"/>
        <v>0</v>
      </c>
      <c r="G196" s="99">
        <f t="shared" si="79"/>
        <v>0</v>
      </c>
      <c r="H196" s="99">
        <f t="shared" si="79"/>
        <v>0</v>
      </c>
      <c r="I196" s="99">
        <f t="shared" si="79"/>
        <v>0</v>
      </c>
      <c r="J196" s="99">
        <f t="shared" si="79"/>
        <v>0</v>
      </c>
      <c r="K196" s="99">
        <f t="shared" si="79"/>
        <v>0</v>
      </c>
      <c r="L196" s="99">
        <f t="shared" si="79"/>
        <v>0</v>
      </c>
      <c r="M196" s="99">
        <f t="shared" si="79"/>
        <v>0</v>
      </c>
      <c r="N196" s="99">
        <f t="shared" si="79"/>
        <v>0</v>
      </c>
      <c r="O196" s="213">
        <f t="shared" si="79"/>
        <v>0</v>
      </c>
      <c r="P196" s="136">
        <f t="shared" si="79"/>
        <v>0</v>
      </c>
      <c r="Q196" s="136">
        <f t="shared" si="79"/>
        <v>0</v>
      </c>
      <c r="R196" s="166">
        <f t="shared" si="79"/>
        <v>0</v>
      </c>
      <c r="S196" s="165">
        <f t="shared" si="79"/>
        <v>0</v>
      </c>
      <c r="T196" s="95">
        <f t="shared" si="59"/>
        <v>0</v>
      </c>
    </row>
    <row r="197" spans="1:20" s="38" customFormat="1" ht="12" hidden="1">
      <c r="A197" s="264"/>
      <c r="B197" s="41"/>
      <c r="C197" s="125" t="s">
        <v>97</v>
      </c>
      <c r="D197" s="100">
        <f>SUM(E197:R197)</f>
        <v>0</v>
      </c>
      <c r="E197" s="102"/>
      <c r="F197" s="51"/>
      <c r="G197" s="51"/>
      <c r="H197" s="51"/>
      <c r="I197" s="51"/>
      <c r="J197" s="80"/>
      <c r="K197" s="80"/>
      <c r="L197" s="80"/>
      <c r="M197" s="80"/>
      <c r="N197" s="80"/>
      <c r="O197" s="216"/>
      <c r="P197" s="81"/>
      <c r="Q197" s="81"/>
      <c r="R197" s="161"/>
      <c r="S197" s="95">
        <f t="shared" si="71"/>
        <v>0</v>
      </c>
      <c r="T197" s="95">
        <f t="shared" si="59"/>
        <v>0</v>
      </c>
    </row>
    <row r="198" spans="1:20" s="82" customFormat="1" ht="13.5" customHeight="1">
      <c r="A198" s="263"/>
      <c r="B198" s="41" t="s">
        <v>127</v>
      </c>
      <c r="C198" s="66"/>
      <c r="D198" s="99">
        <f>D199+D200</f>
        <v>1692052</v>
      </c>
      <c r="E198" s="99">
        <f aca="true" t="shared" si="80" ref="E198:O198">E199+E200</f>
        <v>0</v>
      </c>
      <c r="F198" s="99">
        <f t="shared" si="80"/>
        <v>1184235</v>
      </c>
      <c r="G198" s="99">
        <f t="shared" si="80"/>
        <v>0</v>
      </c>
      <c r="H198" s="99">
        <f t="shared" si="80"/>
        <v>0</v>
      </c>
      <c r="I198" s="99">
        <f t="shared" si="80"/>
        <v>0</v>
      </c>
      <c r="J198" s="99">
        <f t="shared" si="80"/>
        <v>0</v>
      </c>
      <c r="K198" s="99">
        <f t="shared" si="80"/>
        <v>0</v>
      </c>
      <c r="L198" s="99">
        <f t="shared" si="80"/>
        <v>0</v>
      </c>
      <c r="M198" s="99">
        <f t="shared" si="80"/>
        <v>0</v>
      </c>
      <c r="N198" s="99">
        <f t="shared" si="80"/>
        <v>0</v>
      </c>
      <c r="O198" s="213">
        <f t="shared" si="80"/>
        <v>507817</v>
      </c>
      <c r="P198" s="136">
        <f>P199</f>
        <v>0</v>
      </c>
      <c r="Q198" s="136">
        <f>Q199</f>
        <v>0</v>
      </c>
      <c r="R198" s="166">
        <f>R199</f>
        <v>0</v>
      </c>
      <c r="S198" s="95">
        <f t="shared" si="71"/>
        <v>0</v>
      </c>
      <c r="T198" s="95">
        <f t="shared" si="59"/>
        <v>0</v>
      </c>
    </row>
    <row r="199" spans="1:20" s="38" customFormat="1" ht="13.5" customHeight="1">
      <c r="A199" s="264"/>
      <c r="B199" s="41"/>
      <c r="C199" s="125" t="s">
        <v>362</v>
      </c>
      <c r="D199" s="100">
        <f>SUM(E199:R199)</f>
        <v>1184235</v>
      </c>
      <c r="E199" s="102"/>
      <c r="F199" s="51">
        <f>'[15]기타특별회계'!$F$15</f>
        <v>1184235</v>
      </c>
      <c r="G199" s="51"/>
      <c r="H199" s="51"/>
      <c r="I199" s="51"/>
      <c r="J199" s="51"/>
      <c r="K199" s="51"/>
      <c r="L199" s="51"/>
      <c r="M199" s="51"/>
      <c r="N199" s="51"/>
      <c r="O199" s="107"/>
      <c r="P199" s="50"/>
      <c r="Q199" s="50"/>
      <c r="R199" s="161"/>
      <c r="S199" s="95">
        <f t="shared" si="71"/>
        <v>0</v>
      </c>
      <c r="T199" s="95">
        <f t="shared" si="59"/>
        <v>0</v>
      </c>
    </row>
    <row r="200" spans="1:20" s="38" customFormat="1" ht="13.5" customHeight="1">
      <c r="A200" s="264"/>
      <c r="B200" s="41"/>
      <c r="C200" s="125" t="s">
        <v>184</v>
      </c>
      <c r="D200" s="100">
        <f>SUM(E200:R200)</f>
        <v>507817</v>
      </c>
      <c r="E200" s="102"/>
      <c r="F200" s="51"/>
      <c r="G200" s="51"/>
      <c r="H200" s="51"/>
      <c r="I200" s="51"/>
      <c r="J200" s="51"/>
      <c r="K200" s="51"/>
      <c r="L200" s="51"/>
      <c r="M200" s="51"/>
      <c r="N200" s="51"/>
      <c r="O200" s="107">
        <f>'[15]기타특별회계'!$F$17</f>
        <v>507817</v>
      </c>
      <c r="P200" s="50"/>
      <c r="Q200" s="50"/>
      <c r="R200" s="161"/>
      <c r="S200" s="95">
        <f t="shared" si="71"/>
        <v>0</v>
      </c>
      <c r="T200" s="95">
        <f t="shared" si="59"/>
        <v>0</v>
      </c>
    </row>
    <row r="201" spans="1:20" s="82" customFormat="1" ht="13.5" customHeight="1">
      <c r="A201" s="263"/>
      <c r="B201" s="41" t="s">
        <v>363</v>
      </c>
      <c r="C201" s="66"/>
      <c r="D201" s="96">
        <f>D202</f>
        <v>320</v>
      </c>
      <c r="E201" s="96">
        <f aca="true" t="shared" si="81" ref="E201:S201">E202</f>
        <v>0</v>
      </c>
      <c r="F201" s="96">
        <f t="shared" si="81"/>
        <v>0</v>
      </c>
      <c r="G201" s="96">
        <f t="shared" si="81"/>
        <v>320</v>
      </c>
      <c r="H201" s="96">
        <f t="shared" si="81"/>
        <v>0</v>
      </c>
      <c r="I201" s="96">
        <f t="shared" si="81"/>
        <v>0</v>
      </c>
      <c r="J201" s="96">
        <f t="shared" si="81"/>
        <v>0</v>
      </c>
      <c r="K201" s="96">
        <f t="shared" si="81"/>
        <v>0</v>
      </c>
      <c r="L201" s="96">
        <f t="shared" si="81"/>
        <v>0</v>
      </c>
      <c r="M201" s="96">
        <f t="shared" si="81"/>
        <v>0</v>
      </c>
      <c r="N201" s="96">
        <f t="shared" si="81"/>
        <v>0</v>
      </c>
      <c r="O201" s="96">
        <f t="shared" si="81"/>
        <v>0</v>
      </c>
      <c r="P201" s="96">
        <f t="shared" si="81"/>
        <v>0</v>
      </c>
      <c r="Q201" s="96">
        <f t="shared" si="81"/>
        <v>0</v>
      </c>
      <c r="R201" s="96">
        <f t="shared" si="81"/>
        <v>0</v>
      </c>
      <c r="S201" s="96">
        <f t="shared" si="81"/>
        <v>0</v>
      </c>
      <c r="T201" s="95">
        <f t="shared" si="59"/>
        <v>0</v>
      </c>
    </row>
    <row r="202" spans="1:20" s="38" customFormat="1" ht="13.5" customHeight="1">
      <c r="A202" s="264"/>
      <c r="B202" s="41"/>
      <c r="C202" s="125" t="s">
        <v>363</v>
      </c>
      <c r="D202" s="100">
        <f>SUM(E202:R202)</f>
        <v>320</v>
      </c>
      <c r="E202" s="102"/>
      <c r="F202" s="51"/>
      <c r="G202" s="51">
        <f>'[15]기타특별회계'!$F$29</f>
        <v>320</v>
      </c>
      <c r="H202" s="51"/>
      <c r="I202" s="51"/>
      <c r="J202" s="51"/>
      <c r="K202" s="51"/>
      <c r="L202" s="51"/>
      <c r="M202" s="51"/>
      <c r="N202" s="51"/>
      <c r="O202" s="107"/>
      <c r="P202" s="50"/>
      <c r="Q202" s="50"/>
      <c r="R202" s="161"/>
      <c r="S202" s="95"/>
      <c r="T202" s="95">
        <f t="shared" si="59"/>
        <v>0</v>
      </c>
    </row>
    <row r="203" spans="1:20" s="38" customFormat="1" ht="13.5" customHeight="1">
      <c r="A203" s="260"/>
      <c r="B203" s="37"/>
      <c r="C203" s="62"/>
      <c r="D203" s="101"/>
      <c r="E203" s="101"/>
      <c r="F203" s="51"/>
      <c r="G203" s="51"/>
      <c r="H203" s="51"/>
      <c r="I203" s="51"/>
      <c r="J203" s="51"/>
      <c r="K203" s="51"/>
      <c r="L203" s="51"/>
      <c r="M203" s="51"/>
      <c r="N203" s="51"/>
      <c r="O203" s="107"/>
      <c r="P203" s="50"/>
      <c r="Q203" s="50"/>
      <c r="R203" s="161"/>
      <c r="S203" s="95">
        <f t="shared" si="71"/>
        <v>0</v>
      </c>
      <c r="T203" s="95">
        <f t="shared" si="59"/>
        <v>0</v>
      </c>
    </row>
    <row r="204" spans="1:20" s="38" customFormat="1" ht="13.5" customHeight="1" thickBot="1">
      <c r="A204" s="273" t="s">
        <v>26</v>
      </c>
      <c r="B204" s="274"/>
      <c r="C204" s="275"/>
      <c r="D204" s="105">
        <f aca="true" t="shared" si="82" ref="D204:R204">D7-D38</f>
        <v>3582333665</v>
      </c>
      <c r="E204" s="105">
        <f t="shared" si="82"/>
        <v>8337392</v>
      </c>
      <c r="F204" s="105">
        <f t="shared" si="82"/>
        <v>58133333</v>
      </c>
      <c r="G204" s="105">
        <f t="shared" si="82"/>
        <v>584760</v>
      </c>
      <c r="H204" s="105">
        <f t="shared" si="82"/>
        <v>23009871</v>
      </c>
      <c r="I204" s="105">
        <f t="shared" si="82"/>
        <v>2076300</v>
      </c>
      <c r="J204" s="105">
        <f t="shared" si="82"/>
        <v>960554835</v>
      </c>
      <c r="K204" s="105">
        <f t="shared" si="82"/>
        <v>18727271</v>
      </c>
      <c r="L204" s="105">
        <f>L7-L38</f>
        <v>911369092</v>
      </c>
      <c r="M204" s="105">
        <f t="shared" si="82"/>
        <v>1249163158</v>
      </c>
      <c r="N204" s="105">
        <f t="shared" si="82"/>
        <v>27993380</v>
      </c>
      <c r="O204" s="218">
        <f t="shared" si="82"/>
        <v>322384273</v>
      </c>
      <c r="P204" s="169">
        <f t="shared" si="82"/>
        <v>0</v>
      </c>
      <c r="Q204" s="169">
        <f t="shared" si="82"/>
        <v>0</v>
      </c>
      <c r="R204" s="174">
        <f t="shared" si="82"/>
        <v>0</v>
      </c>
      <c r="S204" s="95">
        <f t="shared" si="71"/>
        <v>0</v>
      </c>
      <c r="T204" s="95">
        <f t="shared" si="59"/>
        <v>0</v>
      </c>
    </row>
    <row r="205" spans="1:19" s="38" customFormat="1" ht="13.5" customHeight="1" thickBot="1" thickTop="1">
      <c r="A205" s="265"/>
      <c r="B205" s="43"/>
      <c r="C205" s="63"/>
      <c r="D205" s="104"/>
      <c r="E205" s="104"/>
      <c r="F205" s="49"/>
      <c r="G205" s="49"/>
      <c r="H205" s="49"/>
      <c r="I205" s="49"/>
      <c r="J205" s="49"/>
      <c r="K205" s="49"/>
      <c r="L205" s="49"/>
      <c r="M205" s="49"/>
      <c r="N205" s="49"/>
      <c r="O205" s="219"/>
      <c r="P205" s="48"/>
      <c r="Q205" s="48"/>
      <c r="R205" s="171"/>
      <c r="S205" s="95">
        <f t="shared" si="71"/>
        <v>0</v>
      </c>
    </row>
    <row r="207" spans="6:17" ht="11.25" hidden="1">
      <c r="F207" s="45"/>
      <c r="G207" s="45"/>
      <c r="H207" s="45"/>
      <c r="I207" s="45"/>
      <c r="J207" s="45"/>
      <c r="K207" s="45"/>
      <c r="L207" s="156"/>
      <c r="M207" s="156"/>
      <c r="N207" s="156"/>
      <c r="O207" s="156"/>
      <c r="P207" s="156"/>
      <c r="Q207" s="156"/>
    </row>
    <row r="208" spans="5:18" ht="11.25" hidden="1">
      <c r="E208" s="3">
        <f>E7-E38-E204</f>
        <v>0</v>
      </c>
      <c r="F208" s="3">
        <f>F7-F38-F204</f>
        <v>0</v>
      </c>
      <c r="G208" s="3">
        <f>G7-G38-G204</f>
        <v>0</v>
      </c>
      <c r="J208" s="3">
        <f aca="true" t="shared" si="83" ref="J208:R208">J7-J38-J204</f>
        <v>0</v>
      </c>
      <c r="K208" s="3">
        <f t="shared" si="83"/>
        <v>0</v>
      </c>
      <c r="L208" s="3">
        <f t="shared" si="83"/>
        <v>0</v>
      </c>
      <c r="M208" s="3">
        <f t="shared" si="83"/>
        <v>0</v>
      </c>
      <c r="N208" s="3">
        <f t="shared" si="83"/>
        <v>0</v>
      </c>
      <c r="O208" s="3">
        <f t="shared" si="83"/>
        <v>0</v>
      </c>
      <c r="P208" s="3">
        <f t="shared" si="83"/>
        <v>0</v>
      </c>
      <c r="Q208" s="3">
        <f t="shared" si="83"/>
        <v>0</v>
      </c>
      <c r="R208" s="3">
        <f t="shared" si="83"/>
        <v>0</v>
      </c>
    </row>
    <row r="209" ht="11.25" hidden="1"/>
    <row r="210" ht="11.25" hidden="1"/>
    <row r="211" spans="3:17" s="251" customFormat="1" ht="14.25" hidden="1">
      <c r="C211" s="251" t="s">
        <v>31</v>
      </c>
      <c r="D211" s="252"/>
      <c r="E211" s="253" t="s">
        <v>355</v>
      </c>
      <c r="F211" s="254" t="s">
        <v>355</v>
      </c>
      <c r="G211" s="254" t="s">
        <v>356</v>
      </c>
      <c r="H211" s="254" t="s">
        <v>356</v>
      </c>
      <c r="I211" s="254" t="s">
        <v>356</v>
      </c>
      <c r="J211" s="254" t="s">
        <v>355</v>
      </c>
      <c r="K211" s="254" t="s">
        <v>357</v>
      </c>
      <c r="L211" s="255" t="s">
        <v>357</v>
      </c>
      <c r="M211" s="255" t="s">
        <v>358</v>
      </c>
      <c r="N211" s="255" t="s">
        <v>355</v>
      </c>
      <c r="O211" s="256" t="s">
        <v>355</v>
      </c>
      <c r="P211" s="257"/>
      <c r="Q211" s="257"/>
    </row>
    <row r="212" spans="4:17" s="251" customFormat="1" ht="11.25" hidden="1">
      <c r="D212" s="252"/>
      <c r="E212" s="252"/>
      <c r="F212" s="258"/>
      <c r="G212" s="258"/>
      <c r="H212" s="258"/>
      <c r="I212" s="258"/>
      <c r="J212" s="258"/>
      <c r="K212" s="258"/>
      <c r="L212" s="257"/>
      <c r="M212" s="257"/>
      <c r="N212" s="257"/>
      <c r="O212" s="257"/>
      <c r="P212" s="257"/>
      <c r="Q212" s="257"/>
    </row>
    <row r="213" ht="11.25" hidden="1"/>
  </sheetData>
  <mergeCells count="7">
    <mergeCell ref="A1:R1"/>
    <mergeCell ref="A3:R3"/>
    <mergeCell ref="A204:C204"/>
    <mergeCell ref="A7:C7"/>
    <mergeCell ref="A38:C38"/>
    <mergeCell ref="A5:C5"/>
    <mergeCell ref="B28:C28"/>
  </mergeCells>
  <printOptions horizontalCentered="1"/>
  <pageMargins left="0.2362204724409449" right="0.2362204724409449" top="0.7480314960629921" bottom="0.6299212598425197" header="0.5118110236220472" footer="0.5118110236220472"/>
  <pageSetup firstPageNumber="51" useFirstPageNumber="1" horizontalDpi="600" verticalDpi="600" orientation="landscape" paperSize="9" scale="59" r:id="rId1"/>
  <headerFooter alignWithMargins="0">
    <oddFooter xml:space="preserve">&amp;C </oddFooter>
  </headerFooter>
  <colBreaks count="1" manualBreakCount="1">
    <brk id="15" max="204" man="1"/>
  </colBreaks>
  <ignoredErrors>
    <ignoredError sqref="F10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60" zoomScaleNormal="80" workbookViewId="0" topLeftCell="A1">
      <selection activeCell="D19" sqref="D19"/>
    </sheetView>
  </sheetViews>
  <sheetFormatPr defaultColWidth="8.88671875" defaultRowHeight="13.5"/>
  <cols>
    <col min="1" max="1" width="15.5546875" style="0" customWidth="1"/>
    <col min="2" max="2" width="15.88671875" style="0" bestFit="1" customWidth="1"/>
    <col min="3" max="3" width="15.6640625" style="0" bestFit="1" customWidth="1"/>
    <col min="4" max="4" width="15.5546875" style="0" bestFit="1" customWidth="1"/>
    <col min="5" max="5" width="15.4453125" style="0" bestFit="1" customWidth="1"/>
    <col min="6" max="7" width="15.3359375" style="0" customWidth="1"/>
    <col min="8" max="8" width="15.6640625" style="0" bestFit="1" customWidth="1"/>
    <col min="9" max="9" width="14.77734375" style="0" bestFit="1" customWidth="1"/>
    <col min="10" max="13" width="13.88671875" style="0" customWidth="1"/>
    <col min="14" max="15" width="13.88671875" style="0" hidden="1" customWidth="1"/>
    <col min="16" max="16" width="15.3359375" style="0" hidden="1" customWidth="1"/>
  </cols>
  <sheetData>
    <row r="1" spans="1:16" s="242" customFormat="1" ht="22.5">
      <c r="A1" s="304" t="s">
        <v>352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7" s="242" customFormat="1" ht="22.5">
      <c r="A2" s="231"/>
      <c r="B2" s="232"/>
      <c r="C2" s="233"/>
      <c r="E2" s="243"/>
      <c r="F2" s="243"/>
      <c r="G2" s="243"/>
    </row>
    <row r="3" spans="1:16" s="242" customFormat="1" ht="13.5">
      <c r="A3" s="293" t="s">
        <v>348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s="247" customFormat="1" ht="15.75" customHeight="1" thickBot="1">
      <c r="A4" s="206" t="str">
        <f>재정상태!A4</f>
        <v>사천시 기타특별회계</v>
      </c>
      <c r="B4" s="206"/>
      <c r="C4" s="206"/>
      <c r="D4" s="244"/>
      <c r="E4" s="245"/>
      <c r="F4" s="245"/>
      <c r="G4" s="245"/>
      <c r="H4" s="208" t="s">
        <v>349</v>
      </c>
      <c r="I4" s="208"/>
      <c r="J4" s="208"/>
      <c r="K4" s="208"/>
      <c r="L4" s="208"/>
      <c r="M4" s="246" t="s">
        <v>350</v>
      </c>
      <c r="N4" s="208"/>
      <c r="O4" s="208"/>
      <c r="P4" s="246" t="s">
        <v>350</v>
      </c>
    </row>
    <row r="5" spans="1:16" s="250" customFormat="1" ht="46.5" customHeight="1">
      <c r="A5" s="248" t="s">
        <v>353</v>
      </c>
      <c r="B5" s="249" t="s">
        <v>354</v>
      </c>
      <c r="C5" s="236" t="str">
        <f>재정상태!E5</f>
        <v>주택사업
 특별회계</v>
      </c>
      <c r="D5" s="236" t="str">
        <f>재정상태!F5</f>
        <v>토지구획정리사업
특별회계</v>
      </c>
      <c r="E5" s="236" t="str">
        <f>재정상태!G5</f>
        <v>의료급여기금
특별회계</v>
      </c>
      <c r="F5" s="236" t="str">
        <f>재정상태!H5</f>
        <v>기초생활보장
수급권자생활안정
기금특별회계</v>
      </c>
      <c r="G5" s="236" t="str">
        <f>재정상태!I5</f>
        <v>새마을소득사업
운영관리특별회계</v>
      </c>
      <c r="H5" s="236" t="str">
        <f>재정상태!J5</f>
        <v>발전소주변지역
지원사업특별회계</v>
      </c>
      <c r="I5" s="236" t="str">
        <f>재정상태!K5</f>
        <v>중소기업육성기금
운영특별회계</v>
      </c>
      <c r="J5" s="236" t="str">
        <f>재정상태!L5</f>
        <v>농공단지사업
특별회계</v>
      </c>
      <c r="K5" s="236" t="str">
        <f>재정상태!M5</f>
        <v>수질개선사업
특별회계</v>
      </c>
      <c r="L5" s="236" t="str">
        <f>재정상태!N5</f>
        <v>장기미집행
도시계획시설
대지보상특별회계</v>
      </c>
      <c r="M5" s="238" t="str">
        <f>재정상태!O5</f>
        <v>기반시설
특별회계</v>
      </c>
      <c r="N5" s="239"/>
      <c r="O5" s="237"/>
      <c r="P5" s="240"/>
    </row>
    <row r="6" spans="1:16" s="109" customFormat="1" ht="33.75" customHeight="1">
      <c r="A6" s="223" t="s">
        <v>130</v>
      </c>
      <c r="B6" s="84">
        <f>SUM(C6:P6)</f>
        <v>9398714208</v>
      </c>
      <c r="C6" s="84">
        <f>'[3]주택사업'!$E$21+'[14]기특'!$J$48+'[15]기타특별회계'!$H$68-'[15]기타특별회계'!$E$176</f>
        <v>392366293</v>
      </c>
      <c r="D6" s="84">
        <f>'[4]토지구획정리'!$E$15-29954500</f>
        <v>1580127507</v>
      </c>
      <c r="E6" s="84">
        <f>'[5]의료급여'!$E$14-7057330+320</f>
        <v>1320</v>
      </c>
      <c r="F6" s="84">
        <f>'[6]기초생활보장수급권자생활안전보장'!$E$19+'[14]기특'!$J$50-'[15]기타특별회계'!$F$72-'[15]기타특별회계'!$E$178</f>
        <v>941946749</v>
      </c>
      <c r="G6" s="84">
        <f>'[7]새마을소득'!$E$14+'[14]기특'!$J$52+'[15]기타특별회계'!$H$76-'[15]기타특별회계'!$E$180</f>
        <v>1145006195</v>
      </c>
      <c r="H6" s="84">
        <f>'[8]발전소주변지역'!$E$20+'[14]기특'!$J$54+'[15]기타특별회계'!$H$87</f>
        <v>2154803559</v>
      </c>
      <c r="I6" s="84">
        <f>'[9]중소기업육성'!$E$13-1835449</f>
        <v>2315111055</v>
      </c>
      <c r="J6" s="54">
        <f>-'[10]농공단지'!$A$32+'[14]기특'!$J$46+'[15]기타특별회계'!$H$82-293</f>
        <v>-163805850</v>
      </c>
      <c r="K6" s="84">
        <f>'[11]수질개선'!$E$14+21540070</f>
        <v>26073770</v>
      </c>
      <c r="L6" s="84">
        <f>'[12]장기미집행'!$E$7-25798560</f>
        <v>944998610</v>
      </c>
      <c r="M6" s="222">
        <f>'[13]기반시설'!$E$7-29181420</f>
        <v>62085000</v>
      </c>
      <c r="N6" s="85"/>
      <c r="O6" s="85"/>
      <c r="P6" s="112"/>
    </row>
    <row r="7" spans="1:16" s="87" customFormat="1" ht="27.75" customHeight="1">
      <c r="A7" s="224" t="s">
        <v>131</v>
      </c>
      <c r="B7" s="54">
        <f>SUM(C7:P7)</f>
        <v>3582333665</v>
      </c>
      <c r="C7" s="54">
        <f>재정운영!E204</f>
        <v>8337392</v>
      </c>
      <c r="D7" s="54">
        <f>재정운영!F204</f>
        <v>58133333</v>
      </c>
      <c r="E7" s="54">
        <f>재정운영!G204</f>
        <v>584760</v>
      </c>
      <c r="F7" s="54">
        <f>재정운영!H204</f>
        <v>23009871</v>
      </c>
      <c r="G7" s="54">
        <f>재정운영!I204</f>
        <v>2076300</v>
      </c>
      <c r="H7" s="54">
        <f>재정운영!J204</f>
        <v>960554835</v>
      </c>
      <c r="I7" s="54">
        <f>재정운영!K204</f>
        <v>18727271</v>
      </c>
      <c r="J7" s="54">
        <f>재정운영!L204</f>
        <v>911369092</v>
      </c>
      <c r="K7" s="54">
        <f>재정운영!M204</f>
        <v>1249163158</v>
      </c>
      <c r="L7" s="54">
        <f>재정운영!N204</f>
        <v>27993380</v>
      </c>
      <c r="M7" s="200">
        <f>재정운영!O204</f>
        <v>322384273</v>
      </c>
      <c r="N7" s="220">
        <f>재정운영!P204</f>
        <v>0</v>
      </c>
      <c r="O7" s="54">
        <f>재정운영!Q204</f>
        <v>0</v>
      </c>
      <c r="P7" s="54">
        <f>재정운영!R204</f>
        <v>0</v>
      </c>
    </row>
    <row r="8" spans="1:16" s="115" customFormat="1" ht="25.5" customHeight="1">
      <c r="A8" s="225" t="s">
        <v>218</v>
      </c>
      <c r="B8" s="84">
        <f>SUM(C8:I8)</f>
        <v>0</v>
      </c>
      <c r="C8" s="84">
        <f aca="true" t="shared" si="0" ref="C8:P8">C9</f>
        <v>0</v>
      </c>
      <c r="D8" s="84">
        <f t="shared" si="0"/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222">
        <f t="shared" si="0"/>
        <v>0</v>
      </c>
      <c r="N8" s="221">
        <f t="shared" si="0"/>
        <v>0</v>
      </c>
      <c r="O8" s="84">
        <f t="shared" si="0"/>
        <v>0</v>
      </c>
      <c r="P8" s="84">
        <f t="shared" si="0"/>
        <v>0</v>
      </c>
    </row>
    <row r="9" spans="1:16" s="89" customFormat="1" ht="25.5" customHeight="1">
      <c r="A9" s="226" t="s">
        <v>132</v>
      </c>
      <c r="B9" s="34">
        <f>SUM(C9:I9)</f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227"/>
      <c r="N9" s="88"/>
      <c r="O9" s="88"/>
      <c r="P9" s="110"/>
    </row>
    <row r="10" spans="1:16" s="89" customFormat="1" ht="25.5" customHeight="1">
      <c r="A10" s="225" t="s">
        <v>133</v>
      </c>
      <c r="B10" s="84">
        <f>SUM(C10:I10)</f>
        <v>0</v>
      </c>
      <c r="C10" s="34">
        <f aca="true" t="shared" si="1" ref="C10:P10">C11</f>
        <v>0</v>
      </c>
      <c r="D10" s="34">
        <f t="shared" si="1"/>
        <v>0</v>
      </c>
      <c r="E10" s="84">
        <f t="shared" si="1"/>
        <v>0</v>
      </c>
      <c r="F10" s="84">
        <f t="shared" si="1"/>
        <v>0</v>
      </c>
      <c r="G10" s="84">
        <f t="shared" si="1"/>
        <v>0</v>
      </c>
      <c r="H10" s="84">
        <f t="shared" si="1"/>
        <v>0</v>
      </c>
      <c r="I10" s="84">
        <f t="shared" si="1"/>
        <v>0</v>
      </c>
      <c r="J10" s="84">
        <f t="shared" si="1"/>
        <v>0</v>
      </c>
      <c r="K10" s="84">
        <f t="shared" si="1"/>
        <v>0</v>
      </c>
      <c r="L10" s="84">
        <f t="shared" si="1"/>
        <v>0</v>
      </c>
      <c r="M10" s="222">
        <f t="shared" si="1"/>
        <v>0</v>
      </c>
      <c r="N10" s="221">
        <f t="shared" si="1"/>
        <v>0</v>
      </c>
      <c r="O10" s="84">
        <f t="shared" si="1"/>
        <v>0</v>
      </c>
      <c r="P10" s="110">
        <f t="shared" si="1"/>
        <v>0</v>
      </c>
    </row>
    <row r="11" spans="1:16" s="89" customFormat="1" ht="25.5" customHeight="1">
      <c r="A11" s="226" t="s">
        <v>322</v>
      </c>
      <c r="B11" s="34">
        <f>SUM(C11:I11)</f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227"/>
      <c r="N11" s="88"/>
      <c r="O11" s="88"/>
      <c r="P11" s="110"/>
    </row>
    <row r="12" spans="1:16" s="83" customFormat="1" ht="27" customHeight="1" thickBot="1">
      <c r="A12" s="228" t="s">
        <v>134</v>
      </c>
      <c r="B12" s="108">
        <f>SUM(C12:P12)</f>
        <v>12981047873</v>
      </c>
      <c r="C12" s="78">
        <f aca="true" t="shared" si="2" ref="C12:P12">C6+C7+C8-C10</f>
        <v>400703685</v>
      </c>
      <c r="D12" s="78">
        <f>D6+D7+D8-D10</f>
        <v>1638260840</v>
      </c>
      <c r="E12" s="78">
        <f t="shared" si="2"/>
        <v>586080</v>
      </c>
      <c r="F12" s="78">
        <f t="shared" si="2"/>
        <v>964956620</v>
      </c>
      <c r="G12" s="78">
        <f t="shared" si="2"/>
        <v>1147082495</v>
      </c>
      <c r="H12" s="78">
        <f t="shared" si="2"/>
        <v>3115358394</v>
      </c>
      <c r="I12" s="78">
        <f t="shared" si="2"/>
        <v>2333838326</v>
      </c>
      <c r="J12" s="78">
        <f t="shared" si="2"/>
        <v>747563242</v>
      </c>
      <c r="K12" s="78">
        <f>K6+K7+K8-K10</f>
        <v>1275236928</v>
      </c>
      <c r="L12" s="78">
        <f t="shared" si="2"/>
        <v>972991990</v>
      </c>
      <c r="M12" s="138">
        <f t="shared" si="2"/>
        <v>384469273</v>
      </c>
      <c r="N12" s="192">
        <f t="shared" si="2"/>
        <v>0</v>
      </c>
      <c r="O12" s="78">
        <f t="shared" si="2"/>
        <v>0</v>
      </c>
      <c r="P12" s="138">
        <f t="shared" si="2"/>
        <v>0</v>
      </c>
    </row>
    <row r="13" spans="1:16" s="6" customFormat="1" ht="13.5" thickBot="1" thickTop="1">
      <c r="A13" s="22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230"/>
      <c r="N13" s="30"/>
      <c r="O13" s="30"/>
      <c r="P13" s="111"/>
    </row>
    <row r="14" spans="1:16" s="6" customFormat="1" ht="1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s="6" customFormat="1" ht="11.25" customHeight="1">
      <c r="A15" s="91"/>
      <c r="B15" s="91">
        <f>SUM(C15:P15)</f>
        <v>12981047873</v>
      </c>
      <c r="C15" s="91">
        <f>재정상태!E185</f>
        <v>400703685</v>
      </c>
      <c r="D15" s="91">
        <f>재정상태!F185</f>
        <v>1638260840</v>
      </c>
      <c r="E15" s="91">
        <f>재정상태!G185</f>
        <v>586080</v>
      </c>
      <c r="F15" s="91">
        <f>재정상태!H185</f>
        <v>964956620</v>
      </c>
      <c r="G15" s="91">
        <f>재정상태!I185</f>
        <v>1147082495</v>
      </c>
      <c r="H15" s="91">
        <f>재정상태!J185</f>
        <v>3115358394</v>
      </c>
      <c r="I15" s="91">
        <f>재정상태!K185</f>
        <v>2333838326</v>
      </c>
      <c r="J15" s="91">
        <f>재정상태!L185</f>
        <v>747563242</v>
      </c>
      <c r="K15" s="91">
        <f>재정상태!M185</f>
        <v>1275236928</v>
      </c>
      <c r="L15" s="91">
        <f>재정상태!N185</f>
        <v>972991990</v>
      </c>
      <c r="M15" s="91">
        <f>재정상태!O185</f>
        <v>384469273</v>
      </c>
      <c r="N15" s="91">
        <f>재정상태!P185</f>
        <v>0</v>
      </c>
      <c r="O15" s="91">
        <f>재정상태!Q185</f>
        <v>0</v>
      </c>
      <c r="P15" s="91">
        <f>재정상태!R185</f>
        <v>0</v>
      </c>
    </row>
    <row r="16" s="6" customFormat="1" ht="12"/>
    <row r="17" spans="2:16" s="92" customFormat="1" ht="12">
      <c r="B17" s="91">
        <f>SUM(C17:P17)</f>
        <v>0</v>
      </c>
      <c r="C17" s="92">
        <f aca="true" t="shared" si="3" ref="C17:P17">C12-C15</f>
        <v>0</v>
      </c>
      <c r="D17" s="92">
        <f>D12-D15</f>
        <v>0</v>
      </c>
      <c r="E17" s="92">
        <f t="shared" si="3"/>
        <v>0</v>
      </c>
      <c r="F17" s="92">
        <f t="shared" si="3"/>
        <v>0</v>
      </c>
      <c r="G17" s="92">
        <f t="shared" si="3"/>
        <v>0</v>
      </c>
      <c r="H17" s="92">
        <f t="shared" si="3"/>
        <v>0</v>
      </c>
      <c r="I17" s="92">
        <f>I12-I15</f>
        <v>0</v>
      </c>
      <c r="J17" s="92">
        <f>J12-J15</f>
        <v>0</v>
      </c>
      <c r="K17" s="92">
        <f>K12-K15</f>
        <v>0</v>
      </c>
      <c r="L17" s="92">
        <f t="shared" si="3"/>
        <v>0</v>
      </c>
      <c r="M17" s="92">
        <f t="shared" si="3"/>
        <v>0</v>
      </c>
      <c r="N17" s="92">
        <f t="shared" si="3"/>
        <v>0</v>
      </c>
      <c r="O17" s="92">
        <f t="shared" si="3"/>
        <v>0</v>
      </c>
      <c r="P17" s="92">
        <f t="shared" si="3"/>
        <v>0</v>
      </c>
    </row>
    <row r="18" s="6" customFormat="1" ht="12"/>
    <row r="19" s="6" customFormat="1" ht="12"/>
    <row r="20" s="6" customFormat="1" ht="12"/>
    <row r="21" spans="3:16" s="6" customFormat="1" ht="12" hidden="1">
      <c r="C21" s="135">
        <f>재정상태!E185</f>
        <v>400703685</v>
      </c>
      <c r="D21" s="135">
        <f>재정상태!F185</f>
        <v>1638260840</v>
      </c>
      <c r="E21" s="135">
        <f>재정상태!G185</f>
        <v>586080</v>
      </c>
      <c r="F21" s="135"/>
      <c r="G21" s="135"/>
      <c r="H21" s="135">
        <f>재정상태!J185</f>
        <v>3115358394</v>
      </c>
      <c r="I21" s="135">
        <f>재정상태!K185</f>
        <v>2333838326</v>
      </c>
      <c r="J21" s="135"/>
      <c r="K21" s="135"/>
      <c r="L21" s="135"/>
      <c r="M21" s="135"/>
      <c r="N21" s="135"/>
      <c r="O21" s="135"/>
      <c r="P21" s="135">
        <f>재정상태!R185</f>
        <v>0</v>
      </c>
    </row>
    <row r="22" spans="3:16" ht="13.5" hidden="1"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ht="13.5" hidden="1"/>
    <row r="24" spans="3:16" ht="13.5" hidden="1">
      <c r="C24" s="94">
        <f>C12-C21</f>
        <v>0</v>
      </c>
      <c r="D24" s="94">
        <f>D12-D21</f>
        <v>0</v>
      </c>
      <c r="E24" s="94">
        <f>E12-E21</f>
        <v>0</v>
      </c>
      <c r="F24" s="94"/>
      <c r="G24" s="94"/>
      <c r="H24" s="94">
        <f>H12-H21</f>
        <v>0</v>
      </c>
      <c r="I24" s="94">
        <f>I12-I21</f>
        <v>0</v>
      </c>
      <c r="J24" s="94"/>
      <c r="K24" s="94"/>
      <c r="L24" s="94"/>
      <c r="M24" s="94"/>
      <c r="N24" s="94"/>
      <c r="O24" s="94"/>
      <c r="P24" s="94">
        <f>P12-P21</f>
        <v>0</v>
      </c>
    </row>
    <row r="27" spans="9:15" ht="13.5">
      <c r="I27" s="94" t="s">
        <v>229</v>
      </c>
      <c r="J27" s="94"/>
      <c r="K27" s="94"/>
      <c r="L27" s="94"/>
      <c r="M27" s="94"/>
      <c r="N27" s="94"/>
      <c r="O27" s="94"/>
    </row>
  </sheetData>
  <mergeCells count="2">
    <mergeCell ref="A1:P1"/>
    <mergeCell ref="A3:P3"/>
  </mergeCells>
  <printOptions horizontalCentered="1"/>
  <pageMargins left="0.46" right="0.55" top="0.984251968503937" bottom="0.984251968503937" header="0.5118110236220472" footer="0.5118110236220472"/>
  <pageSetup firstPageNumber="54" useFirstPageNumber="1" horizontalDpi="600" verticalDpi="600" orientation="landscape" paperSize="9" scale="6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HHG</dc:creator>
  <cp:keywords/>
  <dc:description/>
  <cp:lastModifiedBy>복식부기담당</cp:lastModifiedBy>
  <cp:lastPrinted>2008-06-02T04:13:14Z</cp:lastPrinted>
  <dcterms:created xsi:type="dcterms:W3CDTF">2005-11-25T04:03:49Z</dcterms:created>
  <dcterms:modified xsi:type="dcterms:W3CDTF">2008-06-09T05:39:14Z</dcterms:modified>
  <cp:category/>
  <cp:version/>
  <cp:contentType/>
  <cp:contentStatus/>
</cp:coreProperties>
</file>